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codeName="ThisWorkbook"/>
  <mc:AlternateContent xmlns:mc="http://schemas.openxmlformats.org/markup-compatibility/2006">
    <mc:Choice Requires="x15">
      <x15ac:absPath xmlns:x15ac="http://schemas.microsoft.com/office/spreadsheetml/2010/11/ac" url="/Users/lhaywilson/Desktop/WebDoc Development/External Files 2025/"/>
    </mc:Choice>
  </mc:AlternateContent>
  <xr:revisionPtr revIDLastSave="0" documentId="13_ncr:1_{B4F6509D-2672-E24D-829F-F238BDE63EB6}" xr6:coauthVersionLast="47" xr6:coauthVersionMax="47" xr10:uidLastSave="{00000000-0000-0000-0000-000000000000}"/>
  <bookViews>
    <workbookView xWindow="12020" yWindow="500" windowWidth="36180" windowHeight="26540" tabRatio="729" activeTab="2" xr2:uid="{00000000-000D-0000-FFFF-FFFF00000000}"/>
  </bookViews>
  <sheets>
    <sheet name="ReadMe" sheetId="20" r:id="rId1"/>
    <sheet name="Main Table" sheetId="1" r:id="rId2"/>
    <sheet name="Solubility (S)" sheetId="15" r:id="rId3"/>
    <sheet name="Vapor Pressure (VP)" sheetId="14" r:id="rId4"/>
    <sheet name="Henry's Constant (KH)" sheetId="13" r:id="rId5"/>
    <sheet name="Critical Micelle Conc. (CMC)" sheetId="16" r:id="rId6"/>
    <sheet name="Log Koc" sheetId="11" r:id="rId7"/>
    <sheet name="pKa" sheetId="17" r:id="rId8"/>
    <sheet name="Biotransformation" sheetId="19" r:id="rId9"/>
    <sheet name="References" sheetId="7" r:id="rId10"/>
    <sheet name="Constants" sheetId="18" r:id="rId11"/>
  </sheets>
  <externalReferences>
    <externalReference r:id="rId12"/>
  </externalReferences>
  <definedNames>
    <definedName name="_xlnm._FilterDatabase" localSheetId="5" hidden="1">'Critical Micelle Conc. (CMC)'!$A$6:$Q$119</definedName>
    <definedName name="_xlnm._FilterDatabase" localSheetId="4" hidden="1">'Henry''s Constant (KH)'!$A$6:$P$291</definedName>
    <definedName name="_xlnm._FilterDatabase" localSheetId="6" hidden="1">'Log Koc'!$A$6:$I$288</definedName>
    <definedName name="_xlnm._FilterDatabase" localSheetId="1" hidden="1">'Main Table'!$A$7:$R$157</definedName>
    <definedName name="_xlnm._FilterDatabase" localSheetId="7" hidden="1">pKa!$A$6:$K$178</definedName>
    <definedName name="_xlnm._FilterDatabase" localSheetId="9" hidden="1">References!$A$6:$Q$174</definedName>
    <definedName name="_xlnm._FilterDatabase" localSheetId="2" hidden="1">'Solubility (S)'!$A$6:$Q$333</definedName>
    <definedName name="_xlnm._FilterDatabase" localSheetId="3" hidden="1">'Vapor Pressure (VP)'!$A$6:$O$404</definedName>
    <definedName name="aaaa" localSheetId="5">#REF!</definedName>
    <definedName name="aaaa" localSheetId="7">#REF!</definedName>
    <definedName name="aaaa" localSheetId="0">#REF!</definedName>
    <definedName name="aaaa" localSheetId="2">#REF!</definedName>
    <definedName name="aaaa" localSheetId="3">#REF!</definedName>
    <definedName name="aaaa">#REF!</definedName>
    <definedName name="_xlnm.Database" localSheetId="5">#REF!</definedName>
    <definedName name="_xlnm.Database" localSheetId="7">#REF!</definedName>
    <definedName name="_xlnm.Database" localSheetId="0">#REF!</definedName>
    <definedName name="_xlnm.Database" localSheetId="2">#REF!</definedName>
    <definedName name="_xlnm.Database" localSheetId="3">#REF!</definedName>
    <definedName name="_xlnm.Database">#REF!</definedName>
    <definedName name="dd" localSheetId="5">#REF!</definedName>
    <definedName name="dd" localSheetId="7">#REF!</definedName>
    <definedName name="dd" localSheetId="0">#REF!</definedName>
    <definedName name="dd" localSheetId="2">#REF!</definedName>
    <definedName name="dd" localSheetId="3">#REF!</definedName>
    <definedName name="dd">#REF!</definedName>
    <definedName name="dddd" localSheetId="5">#REF!</definedName>
    <definedName name="dddd" localSheetId="7">#REF!</definedName>
    <definedName name="dddd" localSheetId="0">#REF!</definedName>
    <definedName name="dddd" localSheetId="2">#REF!</definedName>
    <definedName name="dddd" localSheetId="3">#REF!</definedName>
    <definedName name="dddd">#REF!</definedName>
    <definedName name="Final_Models" localSheetId="5">#REF!</definedName>
    <definedName name="Final_Models" localSheetId="7">#REF!</definedName>
    <definedName name="Final_Models" localSheetId="0">#REF!</definedName>
    <definedName name="Final_Models" localSheetId="2">#REF!</definedName>
    <definedName name="Final_Models" localSheetId="3">#REF!</definedName>
    <definedName name="Final_Models">#REF!</definedName>
    <definedName name="gg" localSheetId="5">#REF!</definedName>
    <definedName name="gg" localSheetId="7">#REF!</definedName>
    <definedName name="gg" localSheetId="0">#REF!</definedName>
    <definedName name="gg" localSheetId="2">#REF!</definedName>
    <definedName name="gg" localSheetId="3">#REF!</definedName>
    <definedName name="gg">#REF!</definedName>
    <definedName name="ggg" localSheetId="5">#REF!</definedName>
    <definedName name="ggg" localSheetId="7">#REF!</definedName>
    <definedName name="ggg" localSheetId="0">#REF!</definedName>
    <definedName name="ggg" localSheetId="2">#REF!</definedName>
    <definedName name="ggg" localSheetId="3">#REF!</definedName>
    <definedName name="ggg">#REF!</definedName>
    <definedName name="InitDate080359M" hidden="1">34598.8196527778</definedName>
    <definedName name="jjj" localSheetId="0">#REF!</definedName>
    <definedName name="jjj">#REF!</definedName>
    <definedName name="LocationCoordinates_All" localSheetId="5">#REF!</definedName>
    <definedName name="LocationCoordinates_All" localSheetId="7">#REF!</definedName>
    <definedName name="LocationCoordinates_All" localSheetId="0">#REF!</definedName>
    <definedName name="LocationCoordinates_All" localSheetId="2">#REF!</definedName>
    <definedName name="LocationCoordinates_All" localSheetId="3">#REF!</definedName>
    <definedName name="LocationCoordinates_All">#REF!</definedName>
    <definedName name="MOVE">#N/A</definedName>
    <definedName name="newdatabase" localSheetId="5">#REF!</definedName>
    <definedName name="newdatabase" localSheetId="7">#REF!</definedName>
    <definedName name="newdatabase" localSheetId="0">#REF!</definedName>
    <definedName name="newdatabase" localSheetId="2">#REF!</definedName>
    <definedName name="newdatabase" localSheetId="3">#REF!</definedName>
    <definedName name="newdatabase">#REF!</definedName>
    <definedName name="O" hidden="1">"¨Á¿ÁÈ~ŸÅÊ»Ì×ÅÝ„²ÓÖØÌÛÉ×Ø"</definedName>
    <definedName name="OLE_LINK387" localSheetId="1">'Main Table'!$E$124</definedName>
    <definedName name="OLE_LINK482" localSheetId="1">'Main Table'!$E$85</definedName>
    <definedName name="OLE_LINK51" localSheetId="1">'Main Table'!$E$79</definedName>
    <definedName name="OLE_LINK79" localSheetId="1">'Main Table'!$E$65</definedName>
    <definedName name="Organ080359M" hidden="1">"Commonwealth Technology, Inc."</definedName>
    <definedName name="Print_1_Page" localSheetId="0">#REF!</definedName>
    <definedName name="Print_1_Page">#REF!</definedName>
    <definedName name="Print_2_Pages" localSheetId="5">#REF!</definedName>
    <definedName name="Print_2_Pages" localSheetId="7">#REF!</definedName>
    <definedName name="Print_2_Pages" localSheetId="0">#REF!</definedName>
    <definedName name="Print_2_Pages" localSheetId="2">#REF!</definedName>
    <definedName name="Print_2_Pages" localSheetId="3">#REF!</definedName>
    <definedName name="Print_2_Pages">#REF!</definedName>
    <definedName name="_xlnm.Print_Area" localSheetId="5">#REF!</definedName>
    <definedName name="_xlnm.Print_Area" localSheetId="6">'Log Koc'!#REF!</definedName>
    <definedName name="_xlnm.Print_Area" localSheetId="7">#REF!</definedName>
    <definedName name="_xlnm.Print_Area" localSheetId="0">#REF!</definedName>
    <definedName name="_xlnm.Print_Area" localSheetId="3">#REF!</definedName>
    <definedName name="_xlnm.Print_Area">#REF!</definedName>
    <definedName name="PRINT_AREA_MI" localSheetId="5">#REF!</definedName>
    <definedName name="PRINT_AREA_MI" localSheetId="7">#REF!</definedName>
    <definedName name="PRINT_AREA_MI" localSheetId="0">#REF!</definedName>
    <definedName name="PRINT_AREA_MI" localSheetId="2">#REF!</definedName>
    <definedName name="PRINT_AREA_MI" localSheetId="3">#REF!</definedName>
    <definedName name="PRINT_AREA_MI">#REF!</definedName>
    <definedName name="Print_Area_MI2" localSheetId="5">#REF!</definedName>
    <definedName name="Print_Area_MI2" localSheetId="7">#REF!</definedName>
    <definedName name="Print_Area_MI2" localSheetId="0">#REF!</definedName>
    <definedName name="Print_Area_MI2" localSheetId="2">#REF!</definedName>
    <definedName name="Print_Area_MI2" localSheetId="3">#REF!</definedName>
    <definedName name="Print_Area_MI2">#REF!</definedName>
    <definedName name="printarea">#REF!</definedName>
    <definedName name="R_atm" localSheetId="0">[1]Constants!$C$2</definedName>
    <definedName name="R_atm">Constants!$C$2</definedName>
    <definedName name="R_Pa" localSheetId="0">[1]Constants!$C$3</definedName>
    <definedName name="R_Pa">Constants!$C$3</definedName>
    <definedName name="ReadMe">#REF!</definedName>
    <definedName name="S" hidden="1">"|}~z¦ƒ‰‡„y©"</definedName>
    <definedName name="Serial080359M" hidden="1">"001-KY031505-P"</definedName>
    <definedName name="U" hidden="1">"©ÀÒÆÐƒ¦ÊØÎÕÊØÙ"</definedName>
    <definedName name="W5.0.23" hidden="1">TRUE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5" i="14" l="1"/>
  <c r="L275" i="14"/>
  <c r="K275" i="14"/>
  <c r="J275" i="14"/>
  <c r="Q34" i="19"/>
  <c r="Q33" i="19"/>
  <c r="Q32" i="19"/>
  <c r="Q30" i="19"/>
  <c r="Q29" i="19"/>
  <c r="Q28" i="19"/>
  <c r="Q27" i="19"/>
  <c r="Q26" i="19"/>
  <c r="Q25" i="19"/>
  <c r="Q9" i="19"/>
  <c r="I182" i="13"/>
  <c r="G182" i="13" s="1"/>
  <c r="H182" i="13" s="1"/>
  <c r="L259" i="14"/>
  <c r="K259" i="14"/>
  <c r="J259" i="14"/>
  <c r="L260" i="14"/>
  <c r="K260" i="14"/>
  <c r="J260" i="14"/>
  <c r="K234" i="15"/>
  <c r="M234" i="15" s="1"/>
  <c r="N234" i="15" s="1"/>
  <c r="M233" i="15"/>
  <c r="N233" i="15" s="1"/>
  <c r="K233" i="15"/>
  <c r="L233" i="15" s="1"/>
  <c r="N206" i="15"/>
  <c r="K206" i="15"/>
  <c r="M206" i="15" s="1"/>
  <c r="M207" i="15"/>
  <c r="N207" i="15" s="1"/>
  <c r="K207" i="15"/>
  <c r="L207" i="15" s="1"/>
  <c r="K203" i="15"/>
  <c r="M203" i="15" s="1"/>
  <c r="N203" i="15" s="1"/>
  <c r="L134" i="13"/>
  <c r="K134" i="13"/>
  <c r="G134" i="13" s="1"/>
  <c r="H134" i="13" s="1"/>
  <c r="L123" i="13"/>
  <c r="K123" i="13"/>
  <c r="I123" i="13" s="1"/>
  <c r="J123" i="13" s="1"/>
  <c r="L125" i="13"/>
  <c r="K125" i="13"/>
  <c r="I125" i="13" s="1"/>
  <c r="J125" i="13" s="1"/>
  <c r="L137" i="13"/>
  <c r="K137" i="13"/>
  <c r="I137" i="13" s="1"/>
  <c r="J137" i="13" s="1"/>
  <c r="L136" i="13"/>
  <c r="K136" i="13"/>
  <c r="I136" i="13" s="1"/>
  <c r="J136" i="13" s="1"/>
  <c r="L202" i="14"/>
  <c r="K202" i="14"/>
  <c r="J202" i="14"/>
  <c r="L206" i="14"/>
  <c r="K206" i="14"/>
  <c r="J206" i="14"/>
  <c r="L205" i="14"/>
  <c r="K205" i="14"/>
  <c r="J205" i="14"/>
  <c r="L186" i="14"/>
  <c r="K186" i="14"/>
  <c r="J186" i="14"/>
  <c r="L190" i="14"/>
  <c r="K190" i="14"/>
  <c r="J190" i="14"/>
  <c r="N179" i="15"/>
  <c r="K179" i="15"/>
  <c r="M179" i="15" s="1"/>
  <c r="N178" i="15"/>
  <c r="K178" i="15"/>
  <c r="L178" i="15" s="1"/>
  <c r="K163" i="15"/>
  <c r="L163" i="15" s="1"/>
  <c r="N163" i="15"/>
  <c r="K159" i="15"/>
  <c r="L159" i="15" s="1"/>
  <c r="N159" i="15"/>
  <c r="M175" i="15"/>
  <c r="N175" i="15" s="1"/>
  <c r="K175" i="15"/>
  <c r="L175" i="15" s="1"/>
  <c r="M10" i="15"/>
  <c r="N10" i="15" s="1"/>
  <c r="K10" i="15"/>
  <c r="L10" i="15" s="1"/>
  <c r="G137" i="7"/>
  <c r="H137" i="7"/>
  <c r="I137" i="7"/>
  <c r="J137" i="7"/>
  <c r="K137" i="7"/>
  <c r="L137" i="7"/>
  <c r="M137" i="7"/>
  <c r="N137" i="7"/>
  <c r="O137" i="7"/>
  <c r="P137" i="7"/>
  <c r="I134" i="13" l="1"/>
  <c r="J134" i="13" s="1"/>
  <c r="G136" i="13"/>
  <c r="H136" i="13" s="1"/>
  <c r="J182" i="13"/>
  <c r="K182" i="13"/>
  <c r="L182" i="13" s="1"/>
  <c r="L234" i="15"/>
  <c r="L206" i="15"/>
  <c r="L203" i="15"/>
  <c r="M163" i="15"/>
  <c r="G137" i="13"/>
  <c r="H137" i="13" s="1"/>
  <c r="G123" i="13"/>
  <c r="H123" i="13" s="1"/>
  <c r="G125" i="13"/>
  <c r="H125" i="13" s="1"/>
  <c r="L179" i="15"/>
  <c r="M178" i="15"/>
  <c r="M159" i="15"/>
  <c r="P101" i="7"/>
  <c r="O101" i="7"/>
  <c r="N101" i="7"/>
  <c r="M101" i="7"/>
  <c r="L101" i="7"/>
  <c r="K101" i="7"/>
  <c r="J101" i="7"/>
  <c r="I101" i="7"/>
  <c r="H101" i="7"/>
  <c r="G101" i="7"/>
  <c r="P24" i="7"/>
  <c r="O24" i="7"/>
  <c r="N24" i="7"/>
  <c r="M24" i="7"/>
  <c r="L24" i="7"/>
  <c r="K24" i="7"/>
  <c r="J24" i="7"/>
  <c r="I24" i="7"/>
  <c r="H24" i="7"/>
  <c r="G24" i="7"/>
  <c r="R9" i="19"/>
  <c r="Q169" i="19"/>
  <c r="R169" i="19"/>
  <c r="Q171" i="19"/>
  <c r="Q170" i="19"/>
  <c r="Q168" i="19"/>
  <c r="P115" i="7"/>
  <c r="O115" i="7"/>
  <c r="N115" i="7"/>
  <c r="M115" i="7"/>
  <c r="L115" i="7"/>
  <c r="K115" i="7"/>
  <c r="J115" i="7"/>
  <c r="I115" i="7"/>
  <c r="H115" i="7"/>
  <c r="G115" i="7"/>
  <c r="F159" i="7"/>
  <c r="F160" i="7"/>
  <c r="F161" i="7"/>
  <c r="F162" i="7"/>
  <c r="F163" i="7"/>
  <c r="F164" i="7"/>
  <c r="F165" i="7"/>
  <c r="F166" i="7"/>
  <c r="F167" i="7"/>
  <c r="F168" i="7"/>
  <c r="F169" i="7"/>
  <c r="F170" i="7"/>
  <c r="F171" i="7"/>
  <c r="F172" i="7"/>
  <c r="F173" i="7"/>
  <c r="F174" i="7"/>
  <c r="R171" i="19"/>
  <c r="R170" i="19"/>
  <c r="G108" i="7"/>
  <c r="H108" i="7"/>
  <c r="I108" i="7"/>
  <c r="J108" i="7"/>
  <c r="K108" i="7"/>
  <c r="L108" i="7"/>
  <c r="M108" i="7"/>
  <c r="N108" i="7"/>
  <c r="O108" i="7"/>
  <c r="P108" i="7"/>
  <c r="L157" i="14"/>
  <c r="K157" i="14"/>
  <c r="J157" i="14"/>
  <c r="G45" i="7"/>
  <c r="H45" i="7"/>
  <c r="I45" i="7"/>
  <c r="J45" i="7"/>
  <c r="K45" i="7"/>
  <c r="L45" i="7"/>
  <c r="M45" i="7"/>
  <c r="N45" i="7"/>
  <c r="O45" i="7"/>
  <c r="P45" i="7"/>
  <c r="G31" i="7"/>
  <c r="H31" i="7"/>
  <c r="I31" i="7"/>
  <c r="J31" i="7"/>
  <c r="K31" i="7"/>
  <c r="L31" i="7"/>
  <c r="M31" i="7"/>
  <c r="N31" i="7"/>
  <c r="O31" i="7"/>
  <c r="P31" i="7"/>
  <c r="G114" i="7"/>
  <c r="H114" i="7"/>
  <c r="I114" i="7"/>
  <c r="J114" i="7"/>
  <c r="K114" i="7"/>
  <c r="L114" i="7"/>
  <c r="M114" i="7"/>
  <c r="N114" i="7"/>
  <c r="O114" i="7"/>
  <c r="P114" i="7"/>
  <c r="J12" i="14"/>
  <c r="K12" i="14"/>
  <c r="L12" i="14"/>
  <c r="G23" i="7"/>
  <c r="H23" i="7"/>
  <c r="I23" i="7"/>
  <c r="J23" i="7"/>
  <c r="K23" i="7"/>
  <c r="L23" i="7"/>
  <c r="M23" i="7"/>
  <c r="N23" i="7"/>
  <c r="O23" i="7"/>
  <c r="P23" i="7"/>
  <c r="G39" i="7"/>
  <c r="H39" i="7"/>
  <c r="I39" i="7"/>
  <c r="J39" i="7"/>
  <c r="K39" i="7"/>
  <c r="L39" i="7"/>
  <c r="M39" i="7"/>
  <c r="N39" i="7"/>
  <c r="O39" i="7"/>
  <c r="P39" i="7"/>
  <c r="G8" i="7"/>
  <c r="H8" i="7"/>
  <c r="I8" i="7"/>
  <c r="J8" i="7"/>
  <c r="K8" i="7"/>
  <c r="L8" i="7"/>
  <c r="M8" i="7"/>
  <c r="N8" i="7"/>
  <c r="O8" i="7"/>
  <c r="P8" i="7"/>
  <c r="G9" i="7"/>
  <c r="H9" i="7"/>
  <c r="I9" i="7"/>
  <c r="J9" i="7"/>
  <c r="K9" i="7"/>
  <c r="L9" i="7"/>
  <c r="M9" i="7"/>
  <c r="N9" i="7"/>
  <c r="O9" i="7"/>
  <c r="P9" i="7"/>
  <c r="G10" i="7"/>
  <c r="H10" i="7"/>
  <c r="I10" i="7"/>
  <c r="J10" i="7"/>
  <c r="K10" i="7"/>
  <c r="L10" i="7"/>
  <c r="M10" i="7"/>
  <c r="N10" i="7"/>
  <c r="O10" i="7"/>
  <c r="P10" i="7"/>
  <c r="G11" i="7"/>
  <c r="H11" i="7"/>
  <c r="I11" i="7"/>
  <c r="J11" i="7"/>
  <c r="K11" i="7"/>
  <c r="L11" i="7"/>
  <c r="M11" i="7"/>
  <c r="N11" i="7"/>
  <c r="O11" i="7"/>
  <c r="P11" i="7"/>
  <c r="G12" i="7"/>
  <c r="H12" i="7"/>
  <c r="I12" i="7"/>
  <c r="J12" i="7"/>
  <c r="K12" i="7"/>
  <c r="L12" i="7"/>
  <c r="M12" i="7"/>
  <c r="N12" i="7"/>
  <c r="O12" i="7"/>
  <c r="P12" i="7"/>
  <c r="G13" i="7"/>
  <c r="H13" i="7"/>
  <c r="I13" i="7"/>
  <c r="J13" i="7"/>
  <c r="K13" i="7"/>
  <c r="L13" i="7"/>
  <c r="M13" i="7"/>
  <c r="N13" i="7"/>
  <c r="O13" i="7"/>
  <c r="P13" i="7"/>
  <c r="G14" i="7"/>
  <c r="H14" i="7"/>
  <c r="I14" i="7"/>
  <c r="J14" i="7"/>
  <c r="K14" i="7"/>
  <c r="L14" i="7"/>
  <c r="M14" i="7"/>
  <c r="N14" i="7"/>
  <c r="O14" i="7"/>
  <c r="P14" i="7"/>
  <c r="G15" i="7"/>
  <c r="H15" i="7"/>
  <c r="I15" i="7"/>
  <c r="J15" i="7"/>
  <c r="K15" i="7"/>
  <c r="L15" i="7"/>
  <c r="M15" i="7"/>
  <c r="N15" i="7"/>
  <c r="O15" i="7"/>
  <c r="P15" i="7"/>
  <c r="G16" i="7"/>
  <c r="H16" i="7"/>
  <c r="I16" i="7"/>
  <c r="J16" i="7"/>
  <c r="K16" i="7"/>
  <c r="L16" i="7"/>
  <c r="M16" i="7"/>
  <c r="N16" i="7"/>
  <c r="O16" i="7"/>
  <c r="P16" i="7"/>
  <c r="G17" i="7"/>
  <c r="H17" i="7"/>
  <c r="I17" i="7"/>
  <c r="J17" i="7"/>
  <c r="K17" i="7"/>
  <c r="L17" i="7"/>
  <c r="M17" i="7"/>
  <c r="N17" i="7"/>
  <c r="O17" i="7"/>
  <c r="P17" i="7"/>
  <c r="G18" i="7"/>
  <c r="H18" i="7"/>
  <c r="I18" i="7"/>
  <c r="J18" i="7"/>
  <c r="K18" i="7"/>
  <c r="L18" i="7"/>
  <c r="M18" i="7"/>
  <c r="N18" i="7"/>
  <c r="O18" i="7"/>
  <c r="P18" i="7"/>
  <c r="G19" i="7"/>
  <c r="H19" i="7"/>
  <c r="I19" i="7"/>
  <c r="J19" i="7"/>
  <c r="K19" i="7"/>
  <c r="L19" i="7"/>
  <c r="M19" i="7"/>
  <c r="N19" i="7"/>
  <c r="O19" i="7"/>
  <c r="P19" i="7"/>
  <c r="G20" i="7"/>
  <c r="H20" i="7"/>
  <c r="I20" i="7"/>
  <c r="J20" i="7"/>
  <c r="K20" i="7"/>
  <c r="L20" i="7"/>
  <c r="M20" i="7"/>
  <c r="N20" i="7"/>
  <c r="O20" i="7"/>
  <c r="P20" i="7"/>
  <c r="G21" i="7"/>
  <c r="H21" i="7"/>
  <c r="I21" i="7"/>
  <c r="J21" i="7"/>
  <c r="K21" i="7"/>
  <c r="L21" i="7"/>
  <c r="M21" i="7"/>
  <c r="N21" i="7"/>
  <c r="O21" i="7"/>
  <c r="P21" i="7"/>
  <c r="G22" i="7"/>
  <c r="H22" i="7"/>
  <c r="I22" i="7"/>
  <c r="J22" i="7"/>
  <c r="K22" i="7"/>
  <c r="L22" i="7"/>
  <c r="M22" i="7"/>
  <c r="N22" i="7"/>
  <c r="O22" i="7"/>
  <c r="P22" i="7"/>
  <c r="G25" i="7"/>
  <c r="H25" i="7"/>
  <c r="I25" i="7"/>
  <c r="J25" i="7"/>
  <c r="K25" i="7"/>
  <c r="L25" i="7"/>
  <c r="M25" i="7"/>
  <c r="N25" i="7"/>
  <c r="O25" i="7"/>
  <c r="P25" i="7"/>
  <c r="G26" i="7"/>
  <c r="H26" i="7"/>
  <c r="I26" i="7"/>
  <c r="J26" i="7"/>
  <c r="K26" i="7"/>
  <c r="L26" i="7"/>
  <c r="M26" i="7"/>
  <c r="N26" i="7"/>
  <c r="O26" i="7"/>
  <c r="P26" i="7"/>
  <c r="G27" i="7"/>
  <c r="H27" i="7"/>
  <c r="I27" i="7"/>
  <c r="J27" i="7"/>
  <c r="K27" i="7"/>
  <c r="L27" i="7"/>
  <c r="M27" i="7"/>
  <c r="N27" i="7"/>
  <c r="O27" i="7"/>
  <c r="P27" i="7"/>
  <c r="G28" i="7"/>
  <c r="H28" i="7"/>
  <c r="I28" i="7"/>
  <c r="J28" i="7"/>
  <c r="K28" i="7"/>
  <c r="L28" i="7"/>
  <c r="M28" i="7"/>
  <c r="N28" i="7"/>
  <c r="O28" i="7"/>
  <c r="P28" i="7"/>
  <c r="G29" i="7"/>
  <c r="H29" i="7"/>
  <c r="I29" i="7"/>
  <c r="J29" i="7"/>
  <c r="K29" i="7"/>
  <c r="L29" i="7"/>
  <c r="M29" i="7"/>
  <c r="N29" i="7"/>
  <c r="O29" i="7"/>
  <c r="P29" i="7"/>
  <c r="G30" i="7"/>
  <c r="H30" i="7"/>
  <c r="I30" i="7"/>
  <c r="J30" i="7"/>
  <c r="K30" i="7"/>
  <c r="L30" i="7"/>
  <c r="M30" i="7"/>
  <c r="N30" i="7"/>
  <c r="O30" i="7"/>
  <c r="P30" i="7"/>
  <c r="G32" i="7"/>
  <c r="H32" i="7"/>
  <c r="I32" i="7"/>
  <c r="J32" i="7"/>
  <c r="K32" i="7"/>
  <c r="L32" i="7"/>
  <c r="M32" i="7"/>
  <c r="N32" i="7"/>
  <c r="O32" i="7"/>
  <c r="P32" i="7"/>
  <c r="G33" i="7"/>
  <c r="H33" i="7"/>
  <c r="I33" i="7"/>
  <c r="J33" i="7"/>
  <c r="K33" i="7"/>
  <c r="L33" i="7"/>
  <c r="M33" i="7"/>
  <c r="N33" i="7"/>
  <c r="O33" i="7"/>
  <c r="P33" i="7"/>
  <c r="G34" i="7"/>
  <c r="H34" i="7"/>
  <c r="I34" i="7"/>
  <c r="J34" i="7"/>
  <c r="K34" i="7"/>
  <c r="L34" i="7"/>
  <c r="M34" i="7"/>
  <c r="N34" i="7"/>
  <c r="O34" i="7"/>
  <c r="P34" i="7"/>
  <c r="G35" i="7"/>
  <c r="H35" i="7"/>
  <c r="I35" i="7"/>
  <c r="J35" i="7"/>
  <c r="K35" i="7"/>
  <c r="L35" i="7"/>
  <c r="M35" i="7"/>
  <c r="N35" i="7"/>
  <c r="O35" i="7"/>
  <c r="P35" i="7"/>
  <c r="G36" i="7"/>
  <c r="H36" i="7"/>
  <c r="I36" i="7"/>
  <c r="J36" i="7"/>
  <c r="K36" i="7"/>
  <c r="L36" i="7"/>
  <c r="M36" i="7"/>
  <c r="N36" i="7"/>
  <c r="O36" i="7"/>
  <c r="P36" i="7"/>
  <c r="G37" i="7"/>
  <c r="H37" i="7"/>
  <c r="I37" i="7"/>
  <c r="J37" i="7"/>
  <c r="K37" i="7"/>
  <c r="L37" i="7"/>
  <c r="M37" i="7"/>
  <c r="N37" i="7"/>
  <c r="O37" i="7"/>
  <c r="P37" i="7"/>
  <c r="G38" i="7"/>
  <c r="H38" i="7"/>
  <c r="I38" i="7"/>
  <c r="J38" i="7"/>
  <c r="K38" i="7"/>
  <c r="L38" i="7"/>
  <c r="M38" i="7"/>
  <c r="N38" i="7"/>
  <c r="O38" i="7"/>
  <c r="P38" i="7"/>
  <c r="G40" i="7"/>
  <c r="H40" i="7"/>
  <c r="I40" i="7"/>
  <c r="J40" i="7"/>
  <c r="K40" i="7"/>
  <c r="L40" i="7"/>
  <c r="M40" i="7"/>
  <c r="N40" i="7"/>
  <c r="O40" i="7"/>
  <c r="P40" i="7"/>
  <c r="G41" i="7"/>
  <c r="H41" i="7"/>
  <c r="I41" i="7"/>
  <c r="J41" i="7"/>
  <c r="K41" i="7"/>
  <c r="L41" i="7"/>
  <c r="M41" i="7"/>
  <c r="N41" i="7"/>
  <c r="O41" i="7"/>
  <c r="P41" i="7"/>
  <c r="G42" i="7"/>
  <c r="H42" i="7"/>
  <c r="I42" i="7"/>
  <c r="J42" i="7"/>
  <c r="K42" i="7"/>
  <c r="L42" i="7"/>
  <c r="M42" i="7"/>
  <c r="N42" i="7"/>
  <c r="O42" i="7"/>
  <c r="P42" i="7"/>
  <c r="G43" i="7"/>
  <c r="H43" i="7"/>
  <c r="I43" i="7"/>
  <c r="J43" i="7"/>
  <c r="K43" i="7"/>
  <c r="L43" i="7"/>
  <c r="M43" i="7"/>
  <c r="N43" i="7"/>
  <c r="O43" i="7"/>
  <c r="P43" i="7"/>
  <c r="G44" i="7"/>
  <c r="H44" i="7"/>
  <c r="I44" i="7"/>
  <c r="J44" i="7"/>
  <c r="K44" i="7"/>
  <c r="L44" i="7"/>
  <c r="M44" i="7"/>
  <c r="N44" i="7"/>
  <c r="O44" i="7"/>
  <c r="P44" i="7"/>
  <c r="G46" i="7"/>
  <c r="H46" i="7"/>
  <c r="I46" i="7"/>
  <c r="J46" i="7"/>
  <c r="K46" i="7"/>
  <c r="L46" i="7"/>
  <c r="M46" i="7"/>
  <c r="N46" i="7"/>
  <c r="O46" i="7"/>
  <c r="P46" i="7"/>
  <c r="G47" i="7"/>
  <c r="H47" i="7"/>
  <c r="I47" i="7"/>
  <c r="J47" i="7"/>
  <c r="K47" i="7"/>
  <c r="L47" i="7"/>
  <c r="M47" i="7"/>
  <c r="N47" i="7"/>
  <c r="O47" i="7"/>
  <c r="P47" i="7"/>
  <c r="G48" i="7"/>
  <c r="H48" i="7"/>
  <c r="I48" i="7"/>
  <c r="J48" i="7"/>
  <c r="K48" i="7"/>
  <c r="L48" i="7"/>
  <c r="M48" i="7"/>
  <c r="N48" i="7"/>
  <c r="O48" i="7"/>
  <c r="P48" i="7"/>
  <c r="G49" i="7"/>
  <c r="H49" i="7"/>
  <c r="I49" i="7"/>
  <c r="J49" i="7"/>
  <c r="K49" i="7"/>
  <c r="L49" i="7"/>
  <c r="M49" i="7"/>
  <c r="N49" i="7"/>
  <c r="O49" i="7"/>
  <c r="P49" i="7"/>
  <c r="G50" i="7"/>
  <c r="H50" i="7"/>
  <c r="I50" i="7"/>
  <c r="J50" i="7"/>
  <c r="K50" i="7"/>
  <c r="L50" i="7"/>
  <c r="M50" i="7"/>
  <c r="N50" i="7"/>
  <c r="O50" i="7"/>
  <c r="P50" i="7"/>
  <c r="G51" i="7"/>
  <c r="H51" i="7"/>
  <c r="I51" i="7"/>
  <c r="J51" i="7"/>
  <c r="K51" i="7"/>
  <c r="L51" i="7"/>
  <c r="M51" i="7"/>
  <c r="N51" i="7"/>
  <c r="O51" i="7"/>
  <c r="P51" i="7"/>
  <c r="G52" i="7"/>
  <c r="H52" i="7"/>
  <c r="I52" i="7"/>
  <c r="J52" i="7"/>
  <c r="K52" i="7"/>
  <c r="L52" i="7"/>
  <c r="M52" i="7"/>
  <c r="N52" i="7"/>
  <c r="O52" i="7"/>
  <c r="P52" i="7"/>
  <c r="G53" i="7"/>
  <c r="H53" i="7"/>
  <c r="I53" i="7"/>
  <c r="J53" i="7"/>
  <c r="K53" i="7"/>
  <c r="L53" i="7"/>
  <c r="M53" i="7"/>
  <c r="N53" i="7"/>
  <c r="O53" i="7"/>
  <c r="P53" i="7"/>
  <c r="G54" i="7"/>
  <c r="H54" i="7"/>
  <c r="I54" i="7"/>
  <c r="J54" i="7"/>
  <c r="K54" i="7"/>
  <c r="L54" i="7"/>
  <c r="M54" i="7"/>
  <c r="N54" i="7"/>
  <c r="O54" i="7"/>
  <c r="P54" i="7"/>
  <c r="G55" i="7"/>
  <c r="H55" i="7"/>
  <c r="I55" i="7"/>
  <c r="J55" i="7"/>
  <c r="K55" i="7"/>
  <c r="L55" i="7"/>
  <c r="M55" i="7"/>
  <c r="N55" i="7"/>
  <c r="O55" i="7"/>
  <c r="P55" i="7"/>
  <c r="G56" i="7"/>
  <c r="H56" i="7"/>
  <c r="I56" i="7"/>
  <c r="J56" i="7"/>
  <c r="K56" i="7"/>
  <c r="L56" i="7"/>
  <c r="M56" i="7"/>
  <c r="N56" i="7"/>
  <c r="O56" i="7"/>
  <c r="P56" i="7"/>
  <c r="G57" i="7"/>
  <c r="H57" i="7"/>
  <c r="I57" i="7"/>
  <c r="J57" i="7"/>
  <c r="K57" i="7"/>
  <c r="L57" i="7"/>
  <c r="M57" i="7"/>
  <c r="N57" i="7"/>
  <c r="O57" i="7"/>
  <c r="P57" i="7"/>
  <c r="G58" i="7"/>
  <c r="H58" i="7"/>
  <c r="I58" i="7"/>
  <c r="J58" i="7"/>
  <c r="K58" i="7"/>
  <c r="L58" i="7"/>
  <c r="M58" i="7"/>
  <c r="N58" i="7"/>
  <c r="O58" i="7"/>
  <c r="P58" i="7"/>
  <c r="G59" i="7"/>
  <c r="H59" i="7"/>
  <c r="I59" i="7"/>
  <c r="J59" i="7"/>
  <c r="K59" i="7"/>
  <c r="L59" i="7"/>
  <c r="M59" i="7"/>
  <c r="N59" i="7"/>
  <c r="O59" i="7"/>
  <c r="P59" i="7"/>
  <c r="G60" i="7"/>
  <c r="H60" i="7"/>
  <c r="I60" i="7"/>
  <c r="J60" i="7"/>
  <c r="K60" i="7"/>
  <c r="L60" i="7"/>
  <c r="M60" i="7"/>
  <c r="N60" i="7"/>
  <c r="O60" i="7"/>
  <c r="P60" i="7"/>
  <c r="G61" i="7"/>
  <c r="H61" i="7"/>
  <c r="I61" i="7"/>
  <c r="J61" i="7"/>
  <c r="K61" i="7"/>
  <c r="L61" i="7"/>
  <c r="M61" i="7"/>
  <c r="N61" i="7"/>
  <c r="O61" i="7"/>
  <c r="P61" i="7"/>
  <c r="G62" i="7"/>
  <c r="H62" i="7"/>
  <c r="I62" i="7"/>
  <c r="J62" i="7"/>
  <c r="K62" i="7"/>
  <c r="L62" i="7"/>
  <c r="M62" i="7"/>
  <c r="N62" i="7"/>
  <c r="O62" i="7"/>
  <c r="P62" i="7"/>
  <c r="G63" i="7"/>
  <c r="H63" i="7"/>
  <c r="I63" i="7"/>
  <c r="J63" i="7"/>
  <c r="K63" i="7"/>
  <c r="L63" i="7"/>
  <c r="M63" i="7"/>
  <c r="N63" i="7"/>
  <c r="O63" i="7"/>
  <c r="P63" i="7"/>
  <c r="G64" i="7"/>
  <c r="H64" i="7"/>
  <c r="I64" i="7"/>
  <c r="J64" i="7"/>
  <c r="K64" i="7"/>
  <c r="L64" i="7"/>
  <c r="M64" i="7"/>
  <c r="N64" i="7"/>
  <c r="O64" i="7"/>
  <c r="P64" i="7"/>
  <c r="G65" i="7"/>
  <c r="H65" i="7"/>
  <c r="I65" i="7"/>
  <c r="J65" i="7"/>
  <c r="K65" i="7"/>
  <c r="L65" i="7"/>
  <c r="M65" i="7"/>
  <c r="N65" i="7"/>
  <c r="O65" i="7"/>
  <c r="P65" i="7"/>
  <c r="G66" i="7"/>
  <c r="H66" i="7"/>
  <c r="I66" i="7"/>
  <c r="J66" i="7"/>
  <c r="K66" i="7"/>
  <c r="L66" i="7"/>
  <c r="M66" i="7"/>
  <c r="N66" i="7"/>
  <c r="O66" i="7"/>
  <c r="P66" i="7"/>
  <c r="G67" i="7"/>
  <c r="H67" i="7"/>
  <c r="I67" i="7"/>
  <c r="J67" i="7"/>
  <c r="K67" i="7"/>
  <c r="L67" i="7"/>
  <c r="M67" i="7"/>
  <c r="N67" i="7"/>
  <c r="O67" i="7"/>
  <c r="P67" i="7"/>
  <c r="G68" i="7"/>
  <c r="H68" i="7"/>
  <c r="I68" i="7"/>
  <c r="J68" i="7"/>
  <c r="K68" i="7"/>
  <c r="L68" i="7"/>
  <c r="M68" i="7"/>
  <c r="N68" i="7"/>
  <c r="O68" i="7"/>
  <c r="P68" i="7"/>
  <c r="G69" i="7"/>
  <c r="H69" i="7"/>
  <c r="I69" i="7"/>
  <c r="J69" i="7"/>
  <c r="K69" i="7"/>
  <c r="L69" i="7"/>
  <c r="M69" i="7"/>
  <c r="N69" i="7"/>
  <c r="O69" i="7"/>
  <c r="P69" i="7"/>
  <c r="G70" i="7"/>
  <c r="H70" i="7"/>
  <c r="I70" i="7"/>
  <c r="J70" i="7"/>
  <c r="K70" i="7"/>
  <c r="L70" i="7"/>
  <c r="M70" i="7"/>
  <c r="N70" i="7"/>
  <c r="O70" i="7"/>
  <c r="P70" i="7"/>
  <c r="G71" i="7"/>
  <c r="H71" i="7"/>
  <c r="I71" i="7"/>
  <c r="J71" i="7"/>
  <c r="K71" i="7"/>
  <c r="L71" i="7"/>
  <c r="M71" i="7"/>
  <c r="N71" i="7"/>
  <c r="O71" i="7"/>
  <c r="P71" i="7"/>
  <c r="G72" i="7"/>
  <c r="H72" i="7"/>
  <c r="I72" i="7"/>
  <c r="J72" i="7"/>
  <c r="K72" i="7"/>
  <c r="L72" i="7"/>
  <c r="M72" i="7"/>
  <c r="N72" i="7"/>
  <c r="O72" i="7"/>
  <c r="P72" i="7"/>
  <c r="G73" i="7"/>
  <c r="H73" i="7"/>
  <c r="I73" i="7"/>
  <c r="J73" i="7"/>
  <c r="K73" i="7"/>
  <c r="L73" i="7"/>
  <c r="M73" i="7"/>
  <c r="N73" i="7"/>
  <c r="O73" i="7"/>
  <c r="P73" i="7"/>
  <c r="G74" i="7"/>
  <c r="H74" i="7"/>
  <c r="I74" i="7"/>
  <c r="J74" i="7"/>
  <c r="K74" i="7"/>
  <c r="L74" i="7"/>
  <c r="M74" i="7"/>
  <c r="N74" i="7"/>
  <c r="O74" i="7"/>
  <c r="P74" i="7"/>
  <c r="G75" i="7"/>
  <c r="H75" i="7"/>
  <c r="I75" i="7"/>
  <c r="J75" i="7"/>
  <c r="K75" i="7"/>
  <c r="L75" i="7"/>
  <c r="M75" i="7"/>
  <c r="N75" i="7"/>
  <c r="O75" i="7"/>
  <c r="P75" i="7"/>
  <c r="G76" i="7"/>
  <c r="H76" i="7"/>
  <c r="I76" i="7"/>
  <c r="J76" i="7"/>
  <c r="K76" i="7"/>
  <c r="L76" i="7"/>
  <c r="M76" i="7"/>
  <c r="N76" i="7"/>
  <c r="O76" i="7"/>
  <c r="P76" i="7"/>
  <c r="G77" i="7"/>
  <c r="H77" i="7"/>
  <c r="I77" i="7"/>
  <c r="J77" i="7"/>
  <c r="K77" i="7"/>
  <c r="L77" i="7"/>
  <c r="M77" i="7"/>
  <c r="N77" i="7"/>
  <c r="O77" i="7"/>
  <c r="P77" i="7"/>
  <c r="G78" i="7"/>
  <c r="H78" i="7"/>
  <c r="I78" i="7"/>
  <c r="J78" i="7"/>
  <c r="K78" i="7"/>
  <c r="L78" i="7"/>
  <c r="M78" i="7"/>
  <c r="N78" i="7"/>
  <c r="O78" i="7"/>
  <c r="P78" i="7"/>
  <c r="G79" i="7"/>
  <c r="H79" i="7"/>
  <c r="I79" i="7"/>
  <c r="J79" i="7"/>
  <c r="K79" i="7"/>
  <c r="L79" i="7"/>
  <c r="M79" i="7"/>
  <c r="N79" i="7"/>
  <c r="O79" i="7"/>
  <c r="P79" i="7"/>
  <c r="G80" i="7"/>
  <c r="H80" i="7"/>
  <c r="I80" i="7"/>
  <c r="J80" i="7"/>
  <c r="K80" i="7"/>
  <c r="L80" i="7"/>
  <c r="M80" i="7"/>
  <c r="N80" i="7"/>
  <c r="O80" i="7"/>
  <c r="P80" i="7"/>
  <c r="G81" i="7"/>
  <c r="H81" i="7"/>
  <c r="I81" i="7"/>
  <c r="J81" i="7"/>
  <c r="K81" i="7"/>
  <c r="L81" i="7"/>
  <c r="M81" i="7"/>
  <c r="N81" i="7"/>
  <c r="O81" i="7"/>
  <c r="P81" i="7"/>
  <c r="G82" i="7"/>
  <c r="H82" i="7"/>
  <c r="I82" i="7"/>
  <c r="J82" i="7"/>
  <c r="K82" i="7"/>
  <c r="L82" i="7"/>
  <c r="M82" i="7"/>
  <c r="N82" i="7"/>
  <c r="O82" i="7"/>
  <c r="P82" i="7"/>
  <c r="G83" i="7"/>
  <c r="H83" i="7"/>
  <c r="I83" i="7"/>
  <c r="J83" i="7"/>
  <c r="K83" i="7"/>
  <c r="L83" i="7"/>
  <c r="M83" i="7"/>
  <c r="N83" i="7"/>
  <c r="O83" i="7"/>
  <c r="P83" i="7"/>
  <c r="G84" i="7"/>
  <c r="H84" i="7"/>
  <c r="I84" i="7"/>
  <c r="J84" i="7"/>
  <c r="K84" i="7"/>
  <c r="L84" i="7"/>
  <c r="M84" i="7"/>
  <c r="N84" i="7"/>
  <c r="O84" i="7"/>
  <c r="P84" i="7"/>
  <c r="G85" i="7"/>
  <c r="H85" i="7"/>
  <c r="I85" i="7"/>
  <c r="J85" i="7"/>
  <c r="K85" i="7"/>
  <c r="L85" i="7"/>
  <c r="M85" i="7"/>
  <c r="N85" i="7"/>
  <c r="O85" i="7"/>
  <c r="P85" i="7"/>
  <c r="G86" i="7"/>
  <c r="H86" i="7"/>
  <c r="I86" i="7"/>
  <c r="J86" i="7"/>
  <c r="K86" i="7"/>
  <c r="L86" i="7"/>
  <c r="M86" i="7"/>
  <c r="N86" i="7"/>
  <c r="O86" i="7"/>
  <c r="P86" i="7"/>
  <c r="G87" i="7"/>
  <c r="H87" i="7"/>
  <c r="I87" i="7"/>
  <c r="J87" i="7"/>
  <c r="K87" i="7"/>
  <c r="L87" i="7"/>
  <c r="M87" i="7"/>
  <c r="N87" i="7"/>
  <c r="O87" i="7"/>
  <c r="P87" i="7"/>
  <c r="G88" i="7"/>
  <c r="H88" i="7"/>
  <c r="I88" i="7"/>
  <c r="J88" i="7"/>
  <c r="K88" i="7"/>
  <c r="L88" i="7"/>
  <c r="M88" i="7"/>
  <c r="N88" i="7"/>
  <c r="O88" i="7"/>
  <c r="P88" i="7"/>
  <c r="G89" i="7"/>
  <c r="H89" i="7"/>
  <c r="I89" i="7"/>
  <c r="J89" i="7"/>
  <c r="K89" i="7"/>
  <c r="L89" i="7"/>
  <c r="M89" i="7"/>
  <c r="N89" i="7"/>
  <c r="O89" i="7"/>
  <c r="P89" i="7"/>
  <c r="G90" i="7"/>
  <c r="H90" i="7"/>
  <c r="I90" i="7"/>
  <c r="J90" i="7"/>
  <c r="K90" i="7"/>
  <c r="L90" i="7"/>
  <c r="M90" i="7"/>
  <c r="N90" i="7"/>
  <c r="O90" i="7"/>
  <c r="P90" i="7"/>
  <c r="G91" i="7"/>
  <c r="H91" i="7"/>
  <c r="I91" i="7"/>
  <c r="J91" i="7"/>
  <c r="K91" i="7"/>
  <c r="L91" i="7"/>
  <c r="M91" i="7"/>
  <c r="N91" i="7"/>
  <c r="O91" i="7"/>
  <c r="P91" i="7"/>
  <c r="G92" i="7"/>
  <c r="H92" i="7"/>
  <c r="I92" i="7"/>
  <c r="J92" i="7"/>
  <c r="K92" i="7"/>
  <c r="L92" i="7"/>
  <c r="M92" i="7"/>
  <c r="N92" i="7"/>
  <c r="O92" i="7"/>
  <c r="P92" i="7"/>
  <c r="G93" i="7"/>
  <c r="H93" i="7"/>
  <c r="I93" i="7"/>
  <c r="J93" i="7"/>
  <c r="K93" i="7"/>
  <c r="L93" i="7"/>
  <c r="M93" i="7"/>
  <c r="N93" i="7"/>
  <c r="O93" i="7"/>
  <c r="P93" i="7"/>
  <c r="G94" i="7"/>
  <c r="H94" i="7"/>
  <c r="I94" i="7"/>
  <c r="J94" i="7"/>
  <c r="K94" i="7"/>
  <c r="L94" i="7"/>
  <c r="M94" i="7"/>
  <c r="N94" i="7"/>
  <c r="O94" i="7"/>
  <c r="P94" i="7"/>
  <c r="G95" i="7"/>
  <c r="H95" i="7"/>
  <c r="I95" i="7"/>
  <c r="J95" i="7"/>
  <c r="K95" i="7"/>
  <c r="L95" i="7"/>
  <c r="M95" i="7"/>
  <c r="N95" i="7"/>
  <c r="O95" i="7"/>
  <c r="P95" i="7"/>
  <c r="G96" i="7"/>
  <c r="H96" i="7"/>
  <c r="I96" i="7"/>
  <c r="J96" i="7"/>
  <c r="K96" i="7"/>
  <c r="L96" i="7"/>
  <c r="M96" i="7"/>
  <c r="N96" i="7"/>
  <c r="O96" i="7"/>
  <c r="P96" i="7"/>
  <c r="G97" i="7"/>
  <c r="H97" i="7"/>
  <c r="I97" i="7"/>
  <c r="J97" i="7"/>
  <c r="K97" i="7"/>
  <c r="L97" i="7"/>
  <c r="M97" i="7"/>
  <c r="N97" i="7"/>
  <c r="O97" i="7"/>
  <c r="P97" i="7"/>
  <c r="G98" i="7"/>
  <c r="H98" i="7"/>
  <c r="I98" i="7"/>
  <c r="J98" i="7"/>
  <c r="K98" i="7"/>
  <c r="L98" i="7"/>
  <c r="M98" i="7"/>
  <c r="N98" i="7"/>
  <c r="O98" i="7"/>
  <c r="P98" i="7"/>
  <c r="G99" i="7"/>
  <c r="H99" i="7"/>
  <c r="I99" i="7"/>
  <c r="J99" i="7"/>
  <c r="K99" i="7"/>
  <c r="L99" i="7"/>
  <c r="M99" i="7"/>
  <c r="N99" i="7"/>
  <c r="O99" i="7"/>
  <c r="P99" i="7"/>
  <c r="G100" i="7"/>
  <c r="H100" i="7"/>
  <c r="I100" i="7"/>
  <c r="J100" i="7"/>
  <c r="K100" i="7"/>
  <c r="L100" i="7"/>
  <c r="M100" i="7"/>
  <c r="N100" i="7"/>
  <c r="O100" i="7"/>
  <c r="P100" i="7"/>
  <c r="G102" i="7"/>
  <c r="H102" i="7"/>
  <c r="I102" i="7"/>
  <c r="J102" i="7"/>
  <c r="K102" i="7"/>
  <c r="L102" i="7"/>
  <c r="M102" i="7"/>
  <c r="N102" i="7"/>
  <c r="O102" i="7"/>
  <c r="P102" i="7"/>
  <c r="G103" i="7"/>
  <c r="H103" i="7"/>
  <c r="I103" i="7"/>
  <c r="J103" i="7"/>
  <c r="K103" i="7"/>
  <c r="L103" i="7"/>
  <c r="M103" i="7"/>
  <c r="N103" i="7"/>
  <c r="O103" i="7"/>
  <c r="P103" i="7"/>
  <c r="G104" i="7"/>
  <c r="H104" i="7"/>
  <c r="I104" i="7"/>
  <c r="J104" i="7"/>
  <c r="K104" i="7"/>
  <c r="L104" i="7"/>
  <c r="M104" i="7"/>
  <c r="N104" i="7"/>
  <c r="O104" i="7"/>
  <c r="P104" i="7"/>
  <c r="G105" i="7"/>
  <c r="H105" i="7"/>
  <c r="I105" i="7"/>
  <c r="J105" i="7"/>
  <c r="K105" i="7"/>
  <c r="L105" i="7"/>
  <c r="M105" i="7"/>
  <c r="N105" i="7"/>
  <c r="O105" i="7"/>
  <c r="P105" i="7"/>
  <c r="G106" i="7"/>
  <c r="H106" i="7"/>
  <c r="I106" i="7"/>
  <c r="J106" i="7"/>
  <c r="K106" i="7"/>
  <c r="L106" i="7"/>
  <c r="M106" i="7"/>
  <c r="N106" i="7"/>
  <c r="O106" i="7"/>
  <c r="P106" i="7"/>
  <c r="G107" i="7"/>
  <c r="H107" i="7"/>
  <c r="I107" i="7"/>
  <c r="J107" i="7"/>
  <c r="K107" i="7"/>
  <c r="L107" i="7"/>
  <c r="M107" i="7"/>
  <c r="N107" i="7"/>
  <c r="O107" i="7"/>
  <c r="P107" i="7"/>
  <c r="G109" i="7"/>
  <c r="H109" i="7"/>
  <c r="I109" i="7"/>
  <c r="J109" i="7"/>
  <c r="K109" i="7"/>
  <c r="L109" i="7"/>
  <c r="M109" i="7"/>
  <c r="N109" i="7"/>
  <c r="O109" i="7"/>
  <c r="P109" i="7"/>
  <c r="G110" i="7"/>
  <c r="H110" i="7"/>
  <c r="I110" i="7"/>
  <c r="J110" i="7"/>
  <c r="K110" i="7"/>
  <c r="L110" i="7"/>
  <c r="M110" i="7"/>
  <c r="N110" i="7"/>
  <c r="O110" i="7"/>
  <c r="P110" i="7"/>
  <c r="G111" i="7"/>
  <c r="H111" i="7"/>
  <c r="I111" i="7"/>
  <c r="J111" i="7"/>
  <c r="K111" i="7"/>
  <c r="L111" i="7"/>
  <c r="M111" i="7"/>
  <c r="N111" i="7"/>
  <c r="O111" i="7"/>
  <c r="P111" i="7"/>
  <c r="G112" i="7"/>
  <c r="H112" i="7"/>
  <c r="I112" i="7"/>
  <c r="J112" i="7"/>
  <c r="K112" i="7"/>
  <c r="L112" i="7"/>
  <c r="M112" i="7"/>
  <c r="N112" i="7"/>
  <c r="O112" i="7"/>
  <c r="P112" i="7"/>
  <c r="G113" i="7"/>
  <c r="H113" i="7"/>
  <c r="I113" i="7"/>
  <c r="J113" i="7"/>
  <c r="K113" i="7"/>
  <c r="L113" i="7"/>
  <c r="M113" i="7"/>
  <c r="N113" i="7"/>
  <c r="O113" i="7"/>
  <c r="P113" i="7"/>
  <c r="G116" i="7"/>
  <c r="H116" i="7"/>
  <c r="I116" i="7"/>
  <c r="J116" i="7"/>
  <c r="K116" i="7"/>
  <c r="L116" i="7"/>
  <c r="M116" i="7"/>
  <c r="N116" i="7"/>
  <c r="O116" i="7"/>
  <c r="P116" i="7"/>
  <c r="G117" i="7"/>
  <c r="H117" i="7"/>
  <c r="I117" i="7"/>
  <c r="J117" i="7"/>
  <c r="K117" i="7"/>
  <c r="L117" i="7"/>
  <c r="M117" i="7"/>
  <c r="N117" i="7"/>
  <c r="O117" i="7"/>
  <c r="P117" i="7"/>
  <c r="G118" i="7"/>
  <c r="H118" i="7"/>
  <c r="I118" i="7"/>
  <c r="J118" i="7"/>
  <c r="K118" i="7"/>
  <c r="L118" i="7"/>
  <c r="M118" i="7"/>
  <c r="N118" i="7"/>
  <c r="O118" i="7"/>
  <c r="P118" i="7"/>
  <c r="G119" i="7"/>
  <c r="H119" i="7"/>
  <c r="I119" i="7"/>
  <c r="J119" i="7"/>
  <c r="K119" i="7"/>
  <c r="L119" i="7"/>
  <c r="M119" i="7"/>
  <c r="N119" i="7"/>
  <c r="O119" i="7"/>
  <c r="P119" i="7"/>
  <c r="G120" i="7"/>
  <c r="H120" i="7"/>
  <c r="I120" i="7"/>
  <c r="J120" i="7"/>
  <c r="K120" i="7"/>
  <c r="L120" i="7"/>
  <c r="M120" i="7"/>
  <c r="N120" i="7"/>
  <c r="O120" i="7"/>
  <c r="P120" i="7"/>
  <c r="G121" i="7"/>
  <c r="H121" i="7"/>
  <c r="I121" i="7"/>
  <c r="J121" i="7"/>
  <c r="K121" i="7"/>
  <c r="L121" i="7"/>
  <c r="M121" i="7"/>
  <c r="N121" i="7"/>
  <c r="O121" i="7"/>
  <c r="P121" i="7"/>
  <c r="G122" i="7"/>
  <c r="H122" i="7"/>
  <c r="I122" i="7"/>
  <c r="J122" i="7"/>
  <c r="K122" i="7"/>
  <c r="L122" i="7"/>
  <c r="M122" i="7"/>
  <c r="N122" i="7"/>
  <c r="O122" i="7"/>
  <c r="P122" i="7"/>
  <c r="G123" i="7"/>
  <c r="H123" i="7"/>
  <c r="I123" i="7"/>
  <c r="J123" i="7"/>
  <c r="K123" i="7"/>
  <c r="L123" i="7"/>
  <c r="M123" i="7"/>
  <c r="N123" i="7"/>
  <c r="O123" i="7"/>
  <c r="P123" i="7"/>
  <c r="G124" i="7"/>
  <c r="H124" i="7"/>
  <c r="I124" i="7"/>
  <c r="J124" i="7"/>
  <c r="K124" i="7"/>
  <c r="L124" i="7"/>
  <c r="M124" i="7"/>
  <c r="N124" i="7"/>
  <c r="O124" i="7"/>
  <c r="P124" i="7"/>
  <c r="G125" i="7"/>
  <c r="H125" i="7"/>
  <c r="I125" i="7"/>
  <c r="J125" i="7"/>
  <c r="K125" i="7"/>
  <c r="L125" i="7"/>
  <c r="M125" i="7"/>
  <c r="N125" i="7"/>
  <c r="O125" i="7"/>
  <c r="P125" i="7"/>
  <c r="G126" i="7"/>
  <c r="H126" i="7"/>
  <c r="I126" i="7"/>
  <c r="J126" i="7"/>
  <c r="K126" i="7"/>
  <c r="L126" i="7"/>
  <c r="M126" i="7"/>
  <c r="N126" i="7"/>
  <c r="O126" i="7"/>
  <c r="P126" i="7"/>
  <c r="G127" i="7"/>
  <c r="H127" i="7"/>
  <c r="I127" i="7"/>
  <c r="J127" i="7"/>
  <c r="K127" i="7"/>
  <c r="L127" i="7"/>
  <c r="M127" i="7"/>
  <c r="N127" i="7"/>
  <c r="O127" i="7"/>
  <c r="P127" i="7"/>
  <c r="G128" i="7"/>
  <c r="H128" i="7"/>
  <c r="I128" i="7"/>
  <c r="J128" i="7"/>
  <c r="K128" i="7"/>
  <c r="L128" i="7"/>
  <c r="M128" i="7"/>
  <c r="N128" i="7"/>
  <c r="O128" i="7"/>
  <c r="P128" i="7"/>
  <c r="G129" i="7"/>
  <c r="H129" i="7"/>
  <c r="I129" i="7"/>
  <c r="J129" i="7"/>
  <c r="K129" i="7"/>
  <c r="L129" i="7"/>
  <c r="M129" i="7"/>
  <c r="N129" i="7"/>
  <c r="O129" i="7"/>
  <c r="P129" i="7"/>
  <c r="G130" i="7"/>
  <c r="H130" i="7"/>
  <c r="I130" i="7"/>
  <c r="J130" i="7"/>
  <c r="K130" i="7"/>
  <c r="L130" i="7"/>
  <c r="M130" i="7"/>
  <c r="N130" i="7"/>
  <c r="O130" i="7"/>
  <c r="P130" i="7"/>
  <c r="G131" i="7"/>
  <c r="H131" i="7"/>
  <c r="I131" i="7"/>
  <c r="J131" i="7"/>
  <c r="K131" i="7"/>
  <c r="L131" i="7"/>
  <c r="M131" i="7"/>
  <c r="N131" i="7"/>
  <c r="O131" i="7"/>
  <c r="P131" i="7"/>
  <c r="G132" i="7"/>
  <c r="H132" i="7"/>
  <c r="I132" i="7"/>
  <c r="J132" i="7"/>
  <c r="K132" i="7"/>
  <c r="L132" i="7"/>
  <c r="M132" i="7"/>
  <c r="N132" i="7"/>
  <c r="O132" i="7"/>
  <c r="P132" i="7"/>
  <c r="G133" i="7"/>
  <c r="H133" i="7"/>
  <c r="I133" i="7"/>
  <c r="J133" i="7"/>
  <c r="K133" i="7"/>
  <c r="L133" i="7"/>
  <c r="M133" i="7"/>
  <c r="N133" i="7"/>
  <c r="O133" i="7"/>
  <c r="P133" i="7"/>
  <c r="G134" i="7"/>
  <c r="H134" i="7"/>
  <c r="I134" i="7"/>
  <c r="J134" i="7"/>
  <c r="K134" i="7"/>
  <c r="L134" i="7"/>
  <c r="M134" i="7"/>
  <c r="N134" i="7"/>
  <c r="O134" i="7"/>
  <c r="P134" i="7"/>
  <c r="G135" i="7"/>
  <c r="H135" i="7"/>
  <c r="I135" i="7"/>
  <c r="J135" i="7"/>
  <c r="K135" i="7"/>
  <c r="L135" i="7"/>
  <c r="M135" i="7"/>
  <c r="N135" i="7"/>
  <c r="O135" i="7"/>
  <c r="P135" i="7"/>
  <c r="G136" i="7"/>
  <c r="H136" i="7"/>
  <c r="I136" i="7"/>
  <c r="J136" i="7"/>
  <c r="K136" i="7"/>
  <c r="L136" i="7"/>
  <c r="M136" i="7"/>
  <c r="N136" i="7"/>
  <c r="O136" i="7"/>
  <c r="P136" i="7"/>
  <c r="G138" i="7"/>
  <c r="H138" i="7"/>
  <c r="I138" i="7"/>
  <c r="J138" i="7"/>
  <c r="K138" i="7"/>
  <c r="L138" i="7"/>
  <c r="M138" i="7"/>
  <c r="N138" i="7"/>
  <c r="O138" i="7"/>
  <c r="P138" i="7"/>
  <c r="G139" i="7"/>
  <c r="H139" i="7"/>
  <c r="I139" i="7"/>
  <c r="J139" i="7"/>
  <c r="K139" i="7"/>
  <c r="L139" i="7"/>
  <c r="M139" i="7"/>
  <c r="N139" i="7"/>
  <c r="O139" i="7"/>
  <c r="P139" i="7"/>
  <c r="G140" i="7"/>
  <c r="H140" i="7"/>
  <c r="I140" i="7"/>
  <c r="J140" i="7"/>
  <c r="K140" i="7"/>
  <c r="L140" i="7"/>
  <c r="M140" i="7"/>
  <c r="N140" i="7"/>
  <c r="O140" i="7"/>
  <c r="P140" i="7"/>
  <c r="G141" i="7"/>
  <c r="H141" i="7"/>
  <c r="I141" i="7"/>
  <c r="J141" i="7"/>
  <c r="K141" i="7"/>
  <c r="L141" i="7"/>
  <c r="M141" i="7"/>
  <c r="N141" i="7"/>
  <c r="O141" i="7"/>
  <c r="P141" i="7"/>
  <c r="G142" i="7"/>
  <c r="H142" i="7"/>
  <c r="I142" i="7"/>
  <c r="J142" i="7"/>
  <c r="K142" i="7"/>
  <c r="L142" i="7"/>
  <c r="M142" i="7"/>
  <c r="N142" i="7"/>
  <c r="O142" i="7"/>
  <c r="P142" i="7"/>
  <c r="G143" i="7"/>
  <c r="H143" i="7"/>
  <c r="I143" i="7"/>
  <c r="J143" i="7"/>
  <c r="K143" i="7"/>
  <c r="L143" i="7"/>
  <c r="M143" i="7"/>
  <c r="N143" i="7"/>
  <c r="O143" i="7"/>
  <c r="P143" i="7"/>
  <c r="G144" i="7"/>
  <c r="H144" i="7"/>
  <c r="I144" i="7"/>
  <c r="J144" i="7"/>
  <c r="K144" i="7"/>
  <c r="L144" i="7"/>
  <c r="M144" i="7"/>
  <c r="N144" i="7"/>
  <c r="O144" i="7"/>
  <c r="P144" i="7"/>
  <c r="G145" i="7"/>
  <c r="H145" i="7"/>
  <c r="I145" i="7"/>
  <c r="J145" i="7"/>
  <c r="K145" i="7"/>
  <c r="L145" i="7"/>
  <c r="M145" i="7"/>
  <c r="N145" i="7"/>
  <c r="O145" i="7"/>
  <c r="P145" i="7"/>
  <c r="G146" i="7"/>
  <c r="H146" i="7"/>
  <c r="I146" i="7"/>
  <c r="J146" i="7"/>
  <c r="K146" i="7"/>
  <c r="L146" i="7"/>
  <c r="M146" i="7"/>
  <c r="N146" i="7"/>
  <c r="O146" i="7"/>
  <c r="P146" i="7"/>
  <c r="G147" i="7"/>
  <c r="H147" i="7"/>
  <c r="I147" i="7"/>
  <c r="J147" i="7"/>
  <c r="K147" i="7"/>
  <c r="L147" i="7"/>
  <c r="M147" i="7"/>
  <c r="N147" i="7"/>
  <c r="O147" i="7"/>
  <c r="P147" i="7"/>
  <c r="G148" i="7"/>
  <c r="H148" i="7"/>
  <c r="I148" i="7"/>
  <c r="J148" i="7"/>
  <c r="K148" i="7"/>
  <c r="L148" i="7"/>
  <c r="M148" i="7"/>
  <c r="N148" i="7"/>
  <c r="O148" i="7"/>
  <c r="P148" i="7"/>
  <c r="G149" i="7"/>
  <c r="H149" i="7"/>
  <c r="I149" i="7"/>
  <c r="J149" i="7"/>
  <c r="K149" i="7"/>
  <c r="L149" i="7"/>
  <c r="M149" i="7"/>
  <c r="N149" i="7"/>
  <c r="O149" i="7"/>
  <c r="P149" i="7"/>
  <c r="G150" i="7"/>
  <c r="H150" i="7"/>
  <c r="I150" i="7"/>
  <c r="J150" i="7"/>
  <c r="K150" i="7"/>
  <c r="L150" i="7"/>
  <c r="M150" i="7"/>
  <c r="N150" i="7"/>
  <c r="O150" i="7"/>
  <c r="P150" i="7"/>
  <c r="G151" i="7"/>
  <c r="H151" i="7"/>
  <c r="I151" i="7"/>
  <c r="J151" i="7"/>
  <c r="K151" i="7"/>
  <c r="L151" i="7"/>
  <c r="M151" i="7"/>
  <c r="N151" i="7"/>
  <c r="O151" i="7"/>
  <c r="P151" i="7"/>
  <c r="G152" i="7"/>
  <c r="H152" i="7"/>
  <c r="I152" i="7"/>
  <c r="J152" i="7"/>
  <c r="K152" i="7"/>
  <c r="L152" i="7"/>
  <c r="M152" i="7"/>
  <c r="N152" i="7"/>
  <c r="O152" i="7"/>
  <c r="P152" i="7"/>
  <c r="G153" i="7"/>
  <c r="H153" i="7"/>
  <c r="I153" i="7"/>
  <c r="J153" i="7"/>
  <c r="K153" i="7"/>
  <c r="L153" i="7"/>
  <c r="M153" i="7"/>
  <c r="N153" i="7"/>
  <c r="O153" i="7"/>
  <c r="P153" i="7"/>
  <c r="G154" i="7"/>
  <c r="H154" i="7"/>
  <c r="I154" i="7"/>
  <c r="J154" i="7"/>
  <c r="K154" i="7"/>
  <c r="L154" i="7"/>
  <c r="M154" i="7"/>
  <c r="N154" i="7"/>
  <c r="O154" i="7"/>
  <c r="P154" i="7"/>
  <c r="G155" i="7"/>
  <c r="H155" i="7"/>
  <c r="I155" i="7"/>
  <c r="J155" i="7"/>
  <c r="K155" i="7"/>
  <c r="L155" i="7"/>
  <c r="M155" i="7"/>
  <c r="N155" i="7"/>
  <c r="O155" i="7"/>
  <c r="P155" i="7"/>
  <c r="G156" i="7"/>
  <c r="H156" i="7"/>
  <c r="I156" i="7"/>
  <c r="J156" i="7"/>
  <c r="K156" i="7"/>
  <c r="L156" i="7"/>
  <c r="M156" i="7"/>
  <c r="N156" i="7"/>
  <c r="O156" i="7"/>
  <c r="P156" i="7"/>
  <c r="G157" i="7"/>
  <c r="H157" i="7"/>
  <c r="I157" i="7"/>
  <c r="J157" i="7"/>
  <c r="K157" i="7"/>
  <c r="L157" i="7"/>
  <c r="M157" i="7"/>
  <c r="N157" i="7"/>
  <c r="O157" i="7"/>
  <c r="P157" i="7"/>
  <c r="G158" i="7"/>
  <c r="H158" i="7"/>
  <c r="I158" i="7"/>
  <c r="J158" i="7"/>
  <c r="K158" i="7"/>
  <c r="L158" i="7"/>
  <c r="M158" i="7"/>
  <c r="N158" i="7"/>
  <c r="O158" i="7"/>
  <c r="P158" i="7"/>
  <c r="O7" i="7"/>
  <c r="M7" i="7"/>
  <c r="I7" i="7"/>
  <c r="H7" i="7"/>
  <c r="G7" i="7"/>
  <c r="J7" i="7"/>
  <c r="K7" i="7"/>
  <c r="L7" i="7"/>
  <c r="N7" i="7"/>
  <c r="K10" i="13"/>
  <c r="G10" i="13" s="1"/>
  <c r="H10" i="13" s="1"/>
  <c r="L10" i="13"/>
  <c r="J11" i="14"/>
  <c r="K11" i="14"/>
  <c r="L11" i="14"/>
  <c r="K56" i="15"/>
  <c r="L56" i="15" s="1"/>
  <c r="I293" i="13"/>
  <c r="K293" i="13" s="1"/>
  <c r="L293" i="13" s="1"/>
  <c r="I132" i="13"/>
  <c r="G132" i="13" s="1"/>
  <c r="H132" i="13" s="1"/>
  <c r="I124" i="13"/>
  <c r="J124" i="13" s="1"/>
  <c r="I121" i="13"/>
  <c r="G121" i="13" s="1"/>
  <c r="H121" i="13" s="1"/>
  <c r="J184" i="14"/>
  <c r="K184" i="14"/>
  <c r="L184" i="14"/>
  <c r="L189" i="14"/>
  <c r="K189" i="14"/>
  <c r="J189" i="14"/>
  <c r="L188" i="14"/>
  <c r="K188" i="14"/>
  <c r="J188" i="14"/>
  <c r="L187" i="14"/>
  <c r="K187" i="14"/>
  <c r="J187" i="14"/>
  <c r="L200" i="14"/>
  <c r="K200" i="14"/>
  <c r="J200" i="14"/>
  <c r="L199" i="14"/>
  <c r="K199" i="14"/>
  <c r="J199" i="14"/>
  <c r="L198" i="14"/>
  <c r="K198" i="14"/>
  <c r="J198" i="14"/>
  <c r="L407" i="14"/>
  <c r="K407" i="14"/>
  <c r="J407" i="14"/>
  <c r="L406" i="14"/>
  <c r="K406" i="14"/>
  <c r="J406" i="14"/>
  <c r="K338" i="15"/>
  <c r="L338" i="15" s="1"/>
  <c r="K337" i="15"/>
  <c r="L337" i="15" s="1"/>
  <c r="K336" i="15"/>
  <c r="M336" i="15" s="1"/>
  <c r="N336" i="15" s="1"/>
  <c r="K335" i="15"/>
  <c r="L335" i="15" s="1"/>
  <c r="K171" i="15"/>
  <c r="L171" i="15" s="1"/>
  <c r="M171" i="15"/>
  <c r="N171" i="15" s="1"/>
  <c r="K172" i="15"/>
  <c r="L172" i="15" s="1"/>
  <c r="M172" i="15"/>
  <c r="N172" i="15" s="1"/>
  <c r="K173" i="15"/>
  <c r="L173" i="15" s="1"/>
  <c r="M173" i="15"/>
  <c r="N173" i="15" s="1"/>
  <c r="K160" i="15"/>
  <c r="L160" i="15" s="1"/>
  <c r="M160" i="15"/>
  <c r="N160" i="15" s="1"/>
  <c r="K161" i="15"/>
  <c r="L161" i="15" s="1"/>
  <c r="M161" i="15"/>
  <c r="N161" i="15" s="1"/>
  <c r="K162" i="15"/>
  <c r="L162" i="15" s="1"/>
  <c r="M162" i="15"/>
  <c r="N162" i="15" s="1"/>
  <c r="K157" i="15"/>
  <c r="L157" i="15" s="1"/>
  <c r="M157" i="15"/>
  <c r="N157" i="15" s="1"/>
  <c r="K156" i="15"/>
  <c r="L156" i="15" s="1"/>
  <c r="M156" i="15"/>
  <c r="N156" i="15" s="1"/>
  <c r="K135" i="13"/>
  <c r="I135" i="13" s="1"/>
  <c r="J135" i="13" s="1"/>
  <c r="L135" i="13"/>
  <c r="D17" i="13"/>
  <c r="I17" i="13" s="1"/>
  <c r="J17" i="13" s="1"/>
  <c r="D15" i="13"/>
  <c r="I15" i="13" s="1"/>
  <c r="K15" i="13" s="1"/>
  <c r="L15" i="13" s="1"/>
  <c r="D14" i="13"/>
  <c r="G14" i="13" s="1"/>
  <c r="H14" i="13" s="1"/>
  <c r="D13" i="13"/>
  <c r="G13" i="13" s="1"/>
  <c r="H13" i="13" s="1"/>
  <c r="D12" i="13"/>
  <c r="G12" i="13" s="1"/>
  <c r="D11" i="13"/>
  <c r="G11" i="13" s="1"/>
  <c r="H11" i="13" s="1"/>
  <c r="Q163" i="19"/>
  <c r="R163" i="19"/>
  <c r="M56" i="15" l="1"/>
  <c r="N56" i="15" s="1"/>
  <c r="I10" i="13"/>
  <c r="J10" i="13" s="1"/>
  <c r="G293" i="13"/>
  <c r="H293" i="13" s="1"/>
  <c r="J293" i="13"/>
  <c r="K132" i="13"/>
  <c r="L132" i="13" s="1"/>
  <c r="J132" i="13"/>
  <c r="K124" i="13"/>
  <c r="L124" i="13" s="1"/>
  <c r="G124" i="13"/>
  <c r="H124" i="13" s="1"/>
  <c r="I13" i="13"/>
  <c r="J13" i="13" s="1"/>
  <c r="K121" i="13"/>
  <c r="L121" i="13" s="1"/>
  <c r="J121" i="13"/>
  <c r="I12" i="13"/>
  <c r="K12" i="13" s="1"/>
  <c r="L12" i="13" s="1"/>
  <c r="M335" i="15"/>
  <c r="N335" i="15" s="1"/>
  <c r="M337" i="15"/>
  <c r="N337" i="15" s="1"/>
  <c r="M338" i="15"/>
  <c r="N338" i="15" s="1"/>
  <c r="L336" i="15"/>
  <c r="G135" i="13"/>
  <c r="H135" i="13" s="1"/>
  <c r="K17" i="13"/>
  <c r="L17" i="13" s="1"/>
  <c r="G17" i="13"/>
  <c r="H17" i="13" s="1"/>
  <c r="G15" i="13"/>
  <c r="H15" i="13" s="1"/>
  <c r="I14" i="13"/>
  <c r="J14" i="13" s="1"/>
  <c r="I11" i="13"/>
  <c r="J11" i="13" s="1"/>
  <c r="J15" i="13"/>
  <c r="H12" i="13"/>
  <c r="R166" i="19"/>
  <c r="Q166" i="19"/>
  <c r="R165" i="19"/>
  <c r="Q165" i="19"/>
  <c r="R159" i="19"/>
  <c r="Q159" i="19"/>
  <c r="R158" i="19"/>
  <c r="Q158" i="19"/>
  <c r="Q160" i="19"/>
  <c r="Q157" i="19"/>
  <c r="Q156" i="19"/>
  <c r="Q155" i="19"/>
  <c r="Q154" i="19"/>
  <c r="R157" i="19"/>
  <c r="R160" i="19"/>
  <c r="Q113" i="19"/>
  <c r="R113" i="19"/>
  <c r="Q115" i="19"/>
  <c r="R115" i="19"/>
  <c r="K13" i="13" l="1"/>
  <c r="L13" i="13" s="1"/>
  <c r="J12" i="13"/>
  <c r="K11" i="13"/>
  <c r="L11" i="13" s="1"/>
  <c r="K14" i="13"/>
  <c r="L14" i="13" s="1"/>
  <c r="R95" i="19"/>
  <c r="Q95" i="19"/>
  <c r="R119" i="19"/>
  <c r="Q119" i="19"/>
  <c r="R120" i="19"/>
  <c r="Q120" i="19"/>
  <c r="R44" i="19"/>
  <c r="Q44" i="19"/>
  <c r="R43" i="19"/>
  <c r="Q43" i="19"/>
  <c r="R42" i="19"/>
  <c r="Q42" i="19"/>
  <c r="R41" i="19"/>
  <c r="Q41" i="19"/>
  <c r="R80" i="19"/>
  <c r="Q80" i="19"/>
  <c r="R79" i="19"/>
  <c r="Q79" i="19"/>
  <c r="R78" i="19"/>
  <c r="Q78" i="19"/>
  <c r="R77" i="19"/>
  <c r="Q77" i="19"/>
  <c r="R55" i="19"/>
  <c r="Q55" i="19"/>
  <c r="R54" i="19"/>
  <c r="Q54" i="19"/>
  <c r="R53" i="19"/>
  <c r="Q53" i="19"/>
  <c r="R52" i="19"/>
  <c r="Q52" i="19"/>
  <c r="R87" i="19"/>
  <c r="Q87" i="19"/>
  <c r="R86" i="19"/>
  <c r="Q86" i="19"/>
  <c r="R85" i="19"/>
  <c r="Q85" i="19"/>
  <c r="R84" i="19"/>
  <c r="Q84" i="19"/>
  <c r="R74" i="19"/>
  <c r="Q74" i="19"/>
  <c r="R73" i="19"/>
  <c r="Q73" i="19"/>
  <c r="R72" i="19"/>
  <c r="Q72" i="19"/>
  <c r="Q71" i="19"/>
  <c r="R71" i="19"/>
  <c r="Q93" i="19"/>
  <c r="R93" i="19"/>
  <c r="R26" i="19"/>
  <c r="R168" i="19" l="1"/>
  <c r="R155" i="19"/>
  <c r="R97" i="19"/>
  <c r="Q97" i="19"/>
  <c r="R96" i="19"/>
  <c r="Q96" i="19"/>
  <c r="R81" i="19"/>
  <c r="Q81" i="19"/>
  <c r="Q145" i="19"/>
  <c r="R145" i="19"/>
  <c r="Q146" i="19"/>
  <c r="R146" i="19"/>
  <c r="Q147" i="19"/>
  <c r="R147" i="19"/>
  <c r="Q141" i="19"/>
  <c r="R141" i="19"/>
  <c r="R143" i="19"/>
  <c r="Q143" i="19"/>
  <c r="Q88" i="19"/>
  <c r="R88" i="19"/>
  <c r="R45" i="19"/>
  <c r="Q45" i="19"/>
  <c r="R89" i="19"/>
  <c r="Q89" i="19"/>
  <c r="R51" i="19"/>
  <c r="Q51" i="19"/>
  <c r="R50" i="19"/>
  <c r="Q50" i="19"/>
  <c r="R68" i="19"/>
  <c r="Q68" i="19"/>
  <c r="R67" i="19"/>
  <c r="Q67" i="19"/>
  <c r="R148" i="19"/>
  <c r="Q148" i="19"/>
  <c r="R144" i="19"/>
  <c r="Q144" i="19"/>
  <c r="Q142" i="19"/>
  <c r="R140" i="19"/>
  <c r="Q140" i="19"/>
  <c r="Q126" i="19"/>
  <c r="R126" i="19"/>
  <c r="R142" i="19" l="1"/>
  <c r="R156" i="19"/>
  <c r="Q124" i="19"/>
  <c r="R124" i="19"/>
  <c r="Q125" i="19"/>
  <c r="R125" i="19"/>
  <c r="R123" i="19"/>
  <c r="Q123" i="19"/>
  <c r="R122" i="19"/>
  <c r="Q122" i="19"/>
  <c r="I133" i="13"/>
  <c r="G133" i="13" s="1"/>
  <c r="H133" i="13" s="1"/>
  <c r="J201" i="14"/>
  <c r="K201" i="14"/>
  <c r="L201" i="14"/>
  <c r="J203" i="14"/>
  <c r="K203" i="14"/>
  <c r="L203" i="14"/>
  <c r="J204" i="14"/>
  <c r="K204" i="14"/>
  <c r="L204" i="14"/>
  <c r="M177" i="15"/>
  <c r="N177" i="15" s="1"/>
  <c r="K177" i="15"/>
  <c r="L177" i="15" s="1"/>
  <c r="M176" i="15"/>
  <c r="N176" i="15" s="1"/>
  <c r="K176" i="15"/>
  <c r="L176" i="15" s="1"/>
  <c r="K174" i="15"/>
  <c r="L174" i="15" s="1"/>
  <c r="K177" i="13"/>
  <c r="G177" i="13" s="1"/>
  <c r="H177" i="13" s="1"/>
  <c r="L177" i="13"/>
  <c r="K166" i="13"/>
  <c r="G166" i="13" s="1"/>
  <c r="H166" i="13" s="1"/>
  <c r="L166" i="13"/>
  <c r="K147" i="13"/>
  <c r="G147" i="13" s="1"/>
  <c r="H147" i="13" s="1"/>
  <c r="L147" i="13"/>
  <c r="K143" i="13"/>
  <c r="G143" i="13" s="1"/>
  <c r="H143" i="13" s="1"/>
  <c r="L143" i="13"/>
  <c r="I144" i="13"/>
  <c r="G144" i="13" s="1"/>
  <c r="H144" i="13" s="1"/>
  <c r="K140" i="13"/>
  <c r="G140" i="13" s="1"/>
  <c r="H140" i="13" s="1"/>
  <c r="L140" i="13"/>
  <c r="K272" i="13"/>
  <c r="G272" i="13" s="1"/>
  <c r="H272" i="13" s="1"/>
  <c r="L272" i="13"/>
  <c r="K260" i="13"/>
  <c r="G260" i="13" s="1"/>
  <c r="H260" i="13" s="1"/>
  <c r="L260" i="13"/>
  <c r="K243" i="13"/>
  <c r="G243" i="13" s="1"/>
  <c r="H243" i="13" s="1"/>
  <c r="L243" i="13"/>
  <c r="K227" i="13"/>
  <c r="G227" i="13" s="1"/>
  <c r="H227" i="13" s="1"/>
  <c r="L227" i="13"/>
  <c r="R32" i="19"/>
  <c r="I275" i="13"/>
  <c r="K275" i="13" s="1"/>
  <c r="L275" i="13" s="1"/>
  <c r="J371" i="14"/>
  <c r="K371" i="14"/>
  <c r="L371" i="14"/>
  <c r="J372" i="14"/>
  <c r="K372" i="14"/>
  <c r="L372" i="14"/>
  <c r="J373" i="14"/>
  <c r="K373" i="14"/>
  <c r="L373" i="14"/>
  <c r="K305" i="15"/>
  <c r="L305" i="15" s="1"/>
  <c r="K306" i="15"/>
  <c r="L306" i="15" s="1"/>
  <c r="M306" i="15"/>
  <c r="N306" i="15" s="1"/>
  <c r="K307" i="15"/>
  <c r="M307" i="15" s="1"/>
  <c r="N307" i="15" s="1"/>
  <c r="I94" i="13"/>
  <c r="J94" i="13" s="1"/>
  <c r="J160" i="14"/>
  <c r="K160" i="14"/>
  <c r="L160" i="14"/>
  <c r="J161" i="14"/>
  <c r="K161" i="14"/>
  <c r="L161" i="14"/>
  <c r="K112" i="15"/>
  <c r="L112" i="15" s="1"/>
  <c r="M112" i="15"/>
  <c r="N112" i="15" s="1"/>
  <c r="K113" i="15"/>
  <c r="L113" i="15" s="1"/>
  <c r="M113" i="15"/>
  <c r="N113" i="15" s="1"/>
  <c r="K114" i="15"/>
  <c r="L114" i="15" s="1"/>
  <c r="M114" i="15"/>
  <c r="N114" i="15" s="1"/>
  <c r="I93" i="13"/>
  <c r="J93" i="13" s="1"/>
  <c r="J159" i="14"/>
  <c r="K159" i="14"/>
  <c r="L159" i="14"/>
  <c r="K109" i="15"/>
  <c r="L109" i="15" s="1"/>
  <c r="M109" i="15"/>
  <c r="N109" i="15" s="1"/>
  <c r="K110" i="15"/>
  <c r="L110" i="15" s="1"/>
  <c r="M110" i="15"/>
  <c r="N110" i="15" s="1"/>
  <c r="K111" i="15"/>
  <c r="L111" i="15" s="1"/>
  <c r="M111" i="15"/>
  <c r="N111" i="15" s="1"/>
  <c r="I92" i="13"/>
  <c r="G92" i="13" s="1"/>
  <c r="H92" i="13" s="1"/>
  <c r="J158" i="14"/>
  <c r="K158" i="14"/>
  <c r="L158" i="14"/>
  <c r="L156" i="14"/>
  <c r="K156" i="14"/>
  <c r="J156" i="14"/>
  <c r="M108" i="15"/>
  <c r="N108" i="15" s="1"/>
  <c r="K108" i="15"/>
  <c r="L108" i="15" s="1"/>
  <c r="M107" i="15"/>
  <c r="N107" i="15" s="1"/>
  <c r="K107" i="15"/>
  <c r="L107" i="15" s="1"/>
  <c r="M106" i="15"/>
  <c r="N106" i="15" s="1"/>
  <c r="K106" i="15"/>
  <c r="L106" i="15" s="1"/>
  <c r="M105" i="15"/>
  <c r="N105" i="15" s="1"/>
  <c r="K105" i="15"/>
  <c r="L105" i="15" s="1"/>
  <c r="I16" i="13"/>
  <c r="G16" i="13" s="1"/>
  <c r="H16" i="13" s="1"/>
  <c r="J14" i="14"/>
  <c r="K14" i="14"/>
  <c r="L14" i="14"/>
  <c r="J15" i="14"/>
  <c r="K15" i="14"/>
  <c r="L15" i="14"/>
  <c r="K14" i="15"/>
  <c r="L14" i="15" s="1"/>
  <c r="M14" i="15"/>
  <c r="N14" i="15" s="1"/>
  <c r="K15" i="15"/>
  <c r="L15" i="15" s="1"/>
  <c r="M15" i="15"/>
  <c r="N15" i="15" s="1"/>
  <c r="I9" i="13"/>
  <c r="J10" i="14"/>
  <c r="K10" i="14"/>
  <c r="L10" i="14"/>
  <c r="J13" i="14"/>
  <c r="K13" i="14"/>
  <c r="L13" i="14"/>
  <c r="L9" i="14"/>
  <c r="K9" i="14"/>
  <c r="J9" i="14"/>
  <c r="M13" i="15"/>
  <c r="N13" i="15" s="1"/>
  <c r="K13" i="15"/>
  <c r="L13" i="15" s="1"/>
  <c r="K12" i="15"/>
  <c r="L12" i="15" s="1"/>
  <c r="M12" i="15"/>
  <c r="N12" i="15" s="1"/>
  <c r="M11" i="15"/>
  <c r="N11" i="15" s="1"/>
  <c r="K11" i="15"/>
  <c r="L11" i="15" s="1"/>
  <c r="M9" i="15"/>
  <c r="N9" i="15" s="1"/>
  <c r="K9" i="15"/>
  <c r="L9" i="15" s="1"/>
  <c r="Q112" i="19"/>
  <c r="R112" i="19"/>
  <c r="Q114" i="19"/>
  <c r="R114" i="19"/>
  <c r="R27" i="19"/>
  <c r="Q106" i="19"/>
  <c r="R106" i="19"/>
  <c r="Q100" i="19"/>
  <c r="R100" i="19"/>
  <c r="Q101" i="19"/>
  <c r="R101" i="19"/>
  <c r="Q57" i="19"/>
  <c r="R57" i="19"/>
  <c r="R28" i="19"/>
  <c r="R29" i="19"/>
  <c r="R30" i="19"/>
  <c r="Q102" i="19"/>
  <c r="R102" i="19"/>
  <c r="R33" i="19"/>
  <c r="R34" i="19"/>
  <c r="R70" i="19"/>
  <c r="Q70" i="19"/>
  <c r="M174" i="15" l="1"/>
  <c r="N174" i="15" s="1"/>
  <c r="J133" i="13"/>
  <c r="K133" i="13"/>
  <c r="L133" i="13" s="1"/>
  <c r="I177" i="13"/>
  <c r="J177" i="13" s="1"/>
  <c r="I166" i="13"/>
  <c r="J166" i="13" s="1"/>
  <c r="I147" i="13"/>
  <c r="J147" i="13" s="1"/>
  <c r="K144" i="13"/>
  <c r="L144" i="13" s="1"/>
  <c r="I143" i="13"/>
  <c r="J143" i="13" s="1"/>
  <c r="J144" i="13"/>
  <c r="I140" i="13"/>
  <c r="J140" i="13" s="1"/>
  <c r="I272" i="13"/>
  <c r="J272" i="13" s="1"/>
  <c r="G93" i="13"/>
  <c r="H93" i="13" s="1"/>
  <c r="I260" i="13"/>
  <c r="J260" i="13" s="1"/>
  <c r="G94" i="13"/>
  <c r="H94" i="13" s="1"/>
  <c r="I243" i="13"/>
  <c r="J243" i="13" s="1"/>
  <c r="I227" i="13"/>
  <c r="J227" i="13" s="1"/>
  <c r="K94" i="13"/>
  <c r="L94" i="13" s="1"/>
  <c r="K93" i="13"/>
  <c r="L93" i="13" s="1"/>
  <c r="G275" i="13"/>
  <c r="H275" i="13" s="1"/>
  <c r="J275" i="13"/>
  <c r="L307" i="15"/>
  <c r="M305" i="15"/>
  <c r="N305" i="15" s="1"/>
  <c r="J92" i="13"/>
  <c r="K92" i="13"/>
  <c r="L92" i="13" s="1"/>
  <c r="K16" i="13"/>
  <c r="L16" i="13" s="1"/>
  <c r="J16" i="13"/>
  <c r="K9" i="13"/>
  <c r="L9" i="13" s="1"/>
  <c r="G9" i="13"/>
  <c r="H9" i="13" s="1"/>
  <c r="J9" i="13"/>
  <c r="Q65" i="19"/>
  <c r="R65" i="19"/>
  <c r="Q103" i="19"/>
  <c r="R103" i="19"/>
  <c r="Q104" i="19"/>
  <c r="R104" i="19"/>
  <c r="Q105" i="19"/>
  <c r="R105" i="19"/>
  <c r="Q48" i="19"/>
  <c r="R48" i="19"/>
  <c r="Q49" i="19"/>
  <c r="R49" i="19"/>
  <c r="Q107" i="19"/>
  <c r="R107" i="19"/>
  <c r="Q151" i="19"/>
  <c r="R151" i="19"/>
  <c r="Q94" i="19"/>
  <c r="R94" i="19"/>
  <c r="Q109" i="19"/>
  <c r="R109" i="19"/>
  <c r="Q108" i="19"/>
  <c r="R108" i="19"/>
  <c r="Q99" i="19"/>
  <c r="R99" i="19"/>
  <c r="Q98" i="19"/>
  <c r="R98" i="19"/>
  <c r="R154" i="19"/>
  <c r="R25" i="19" l="1"/>
  <c r="Q66" i="19" l="1"/>
  <c r="R66" i="19"/>
  <c r="Q61" i="19" l="1"/>
  <c r="R61" i="19"/>
  <c r="R161" i="19" l="1"/>
  <c r="Q161" i="19"/>
  <c r="Q91" i="19"/>
  <c r="R91" i="19"/>
  <c r="K230" i="15"/>
  <c r="L230" i="15" s="1"/>
  <c r="M230" i="15"/>
  <c r="N230" i="15" s="1"/>
  <c r="K231" i="15"/>
  <c r="L231" i="15" s="1"/>
  <c r="M231" i="15"/>
  <c r="N231" i="15" s="1"/>
  <c r="J256" i="14"/>
  <c r="K256" i="14"/>
  <c r="L256" i="14"/>
  <c r="J257" i="14"/>
  <c r="K257" i="14"/>
  <c r="L257" i="14"/>
  <c r="I179" i="13"/>
  <c r="J179" i="13" s="1"/>
  <c r="I180" i="13"/>
  <c r="G180" i="13" s="1"/>
  <c r="H180" i="13" s="1"/>
  <c r="R118" i="19"/>
  <c r="Q118" i="19"/>
  <c r="R117" i="19"/>
  <c r="Q117" i="19"/>
  <c r="Q64" i="19"/>
  <c r="R64" i="19"/>
  <c r="Q63" i="19"/>
  <c r="R63" i="19"/>
  <c r="P159" i="7"/>
  <c r="P160" i="7"/>
  <c r="P161" i="7"/>
  <c r="P162" i="7"/>
  <c r="P163" i="7"/>
  <c r="P164" i="7"/>
  <c r="P165" i="7"/>
  <c r="P166" i="7"/>
  <c r="P167" i="7"/>
  <c r="P168" i="7"/>
  <c r="P169" i="7"/>
  <c r="P170" i="7"/>
  <c r="P171" i="7"/>
  <c r="P172" i="7"/>
  <c r="P173" i="7"/>
  <c r="P174" i="7"/>
  <c r="P7" i="7"/>
  <c r="R149" i="19"/>
  <c r="Q149" i="19"/>
  <c r="Q47" i="19"/>
  <c r="R47" i="19"/>
  <c r="G179" i="13" l="1"/>
  <c r="H179" i="13" s="1"/>
  <c r="K179" i="13"/>
  <c r="L179" i="13" s="1"/>
  <c r="J180" i="13"/>
  <c r="K180" i="13"/>
  <c r="L180" i="13" s="1"/>
  <c r="R83" i="19"/>
  <c r="Q83" i="19"/>
  <c r="R76" i="19"/>
  <c r="Q76" i="19"/>
  <c r="R69" i="19"/>
  <c r="Q69" i="19"/>
  <c r="R40" i="19"/>
  <c r="Q40" i="19"/>
  <c r="R92" i="19"/>
  <c r="Q92" i="19"/>
  <c r="R56" i="19"/>
  <c r="Q56" i="19"/>
  <c r="I18" i="13" l="1"/>
  <c r="J18" i="13" s="1"/>
  <c r="K19" i="13"/>
  <c r="I19" i="13" s="1"/>
  <c r="J19" i="13" s="1"/>
  <c r="K20" i="13"/>
  <c r="I20" i="13" s="1"/>
  <c r="J20" i="13" s="1"/>
  <c r="K21" i="13"/>
  <c r="I21" i="13" s="1"/>
  <c r="J21" i="13" s="1"/>
  <c r="K22" i="13"/>
  <c r="I22" i="13" s="1"/>
  <c r="J22" i="13" s="1"/>
  <c r="K23" i="13"/>
  <c r="I23" i="13" s="1"/>
  <c r="J23" i="13" s="1"/>
  <c r="K24" i="13"/>
  <c r="I24" i="13" s="1"/>
  <c r="J24" i="13" s="1"/>
  <c r="I25" i="13"/>
  <c r="J25" i="13" s="1"/>
  <c r="G18" i="13"/>
  <c r="H18" i="13" s="1"/>
  <c r="I152" i="13"/>
  <c r="J152" i="13" s="1"/>
  <c r="I153" i="13"/>
  <c r="J153" i="13" s="1"/>
  <c r="L227" i="14"/>
  <c r="K227" i="14"/>
  <c r="J227" i="14"/>
  <c r="L226" i="14"/>
  <c r="K226" i="14"/>
  <c r="J226" i="14"/>
  <c r="L225" i="14"/>
  <c r="K225" i="14"/>
  <c r="J225" i="14"/>
  <c r="J223" i="14"/>
  <c r="K223" i="14"/>
  <c r="L223" i="14"/>
  <c r="L222" i="14"/>
  <c r="K222" i="14"/>
  <c r="J222" i="14"/>
  <c r="I45" i="13"/>
  <c r="J45" i="13" s="1"/>
  <c r="J375" i="14"/>
  <c r="K375" i="14"/>
  <c r="L375" i="14"/>
  <c r="J234" i="14"/>
  <c r="K234" i="14"/>
  <c r="L234" i="14"/>
  <c r="J252" i="14"/>
  <c r="K252" i="14"/>
  <c r="L252" i="14"/>
  <c r="J251" i="14"/>
  <c r="K251" i="14"/>
  <c r="L251" i="14"/>
  <c r="J218" i="14"/>
  <c r="K218" i="14"/>
  <c r="L218" i="14"/>
  <c r="J219" i="14"/>
  <c r="K219" i="14"/>
  <c r="L219" i="14"/>
  <c r="J220" i="14"/>
  <c r="K220" i="14"/>
  <c r="L220" i="14"/>
  <c r="J221" i="14"/>
  <c r="K221" i="14"/>
  <c r="L221" i="14"/>
  <c r="J224" i="14"/>
  <c r="K224" i="14"/>
  <c r="L224" i="14"/>
  <c r="L217" i="14"/>
  <c r="K217" i="14"/>
  <c r="J217" i="14"/>
  <c r="K100" i="15"/>
  <c r="L100" i="15" s="1"/>
  <c r="K213" i="15"/>
  <c r="M213" i="15" s="1"/>
  <c r="N213" i="15" s="1"/>
  <c r="K143" i="15"/>
  <c r="L143" i="15" s="1"/>
  <c r="K74" i="15"/>
  <c r="L74" i="15" s="1"/>
  <c r="K55" i="15"/>
  <c r="M55" i="15" s="1"/>
  <c r="N55" i="15" s="1"/>
  <c r="K41" i="15"/>
  <c r="M41" i="15" s="1"/>
  <c r="N41" i="15" s="1"/>
  <c r="K202" i="15"/>
  <c r="M202" i="15" s="1"/>
  <c r="N202" i="15" s="1"/>
  <c r="K201" i="15"/>
  <c r="M201" i="15" s="1"/>
  <c r="N201" i="15" s="1"/>
  <c r="K209" i="15"/>
  <c r="L209" i="15" s="1"/>
  <c r="M209" i="15"/>
  <c r="N209" i="15" s="1"/>
  <c r="K208" i="15"/>
  <c r="L208" i="15" s="1"/>
  <c r="M208" i="15"/>
  <c r="N208" i="15" s="1"/>
  <c r="K198" i="15"/>
  <c r="L198" i="15" s="1"/>
  <c r="K199" i="15"/>
  <c r="L199" i="15" s="1"/>
  <c r="K200" i="15"/>
  <c r="M200" i="15" s="1"/>
  <c r="N200" i="15" s="1"/>
  <c r="K204" i="15"/>
  <c r="L204" i="15" s="1"/>
  <c r="K205" i="15"/>
  <c r="M205" i="15" s="1"/>
  <c r="N205" i="15" s="1"/>
  <c r="K197" i="15"/>
  <c r="L197" i="15" s="1"/>
  <c r="M327" i="15"/>
  <c r="N327" i="15" s="1"/>
  <c r="K327" i="15"/>
  <c r="L327" i="15" s="1"/>
  <c r="K302" i="15"/>
  <c r="L302" i="15" s="1"/>
  <c r="M302" i="15"/>
  <c r="N302" i="15" s="1"/>
  <c r="K294" i="15"/>
  <c r="L294" i="15" s="1"/>
  <c r="M294" i="15"/>
  <c r="N294" i="15" s="1"/>
  <c r="K273" i="15"/>
  <c r="L273" i="15" s="1"/>
  <c r="M273" i="15"/>
  <c r="N273" i="15" s="1"/>
  <c r="K252" i="15"/>
  <c r="L252" i="15" s="1"/>
  <c r="M252" i="15"/>
  <c r="N252" i="15" s="1"/>
  <c r="K243" i="15"/>
  <c r="L243" i="15" s="1"/>
  <c r="M243" i="15"/>
  <c r="N243" i="15" s="1"/>
  <c r="K227" i="15"/>
  <c r="L227" i="15" s="1"/>
  <c r="M227" i="15"/>
  <c r="N227" i="15" s="1"/>
  <c r="K221" i="15"/>
  <c r="M221" i="15" s="1"/>
  <c r="N221" i="15" s="1"/>
  <c r="K109" i="16"/>
  <c r="L109" i="16" s="1"/>
  <c r="M109" i="16"/>
  <c r="N109" i="16" s="1"/>
  <c r="M110" i="16"/>
  <c r="N110" i="16" s="1"/>
  <c r="K110" i="16"/>
  <c r="L110" i="16" s="1"/>
  <c r="K144" i="15"/>
  <c r="L144" i="15" s="1"/>
  <c r="M144" i="15"/>
  <c r="N144" i="15" s="1"/>
  <c r="K47" i="16"/>
  <c r="L47" i="16" s="1"/>
  <c r="M47" i="16"/>
  <c r="N47" i="16" s="1"/>
  <c r="K48" i="16"/>
  <c r="L48" i="16" s="1"/>
  <c r="M48" i="16"/>
  <c r="N48" i="16" s="1"/>
  <c r="K49" i="16"/>
  <c r="L49" i="16" s="1"/>
  <c r="M49" i="16"/>
  <c r="N49" i="16" s="1"/>
  <c r="K41" i="16"/>
  <c r="L41" i="16" s="1"/>
  <c r="M41" i="16"/>
  <c r="N41" i="16" s="1"/>
  <c r="K42" i="16"/>
  <c r="L42" i="16" s="1"/>
  <c r="M42" i="16"/>
  <c r="N42" i="16" s="1"/>
  <c r="K43" i="16"/>
  <c r="L43" i="16" s="1"/>
  <c r="M43" i="16"/>
  <c r="N43" i="16" s="1"/>
  <c r="K33" i="16"/>
  <c r="L33" i="16" s="1"/>
  <c r="M33" i="16"/>
  <c r="N33" i="16" s="1"/>
  <c r="K34" i="16"/>
  <c r="L34" i="16" s="1"/>
  <c r="M34" i="16"/>
  <c r="N34" i="16" s="1"/>
  <c r="K32" i="16"/>
  <c r="L32" i="16" s="1"/>
  <c r="M32" i="16"/>
  <c r="N32" i="16" s="1"/>
  <c r="M105" i="16"/>
  <c r="N105" i="16" s="1"/>
  <c r="K66" i="16"/>
  <c r="L66" i="16" s="1"/>
  <c r="M66" i="16"/>
  <c r="N66" i="16" s="1"/>
  <c r="K61" i="16"/>
  <c r="L61" i="16" s="1"/>
  <c r="M61" i="16"/>
  <c r="N61" i="16" s="1"/>
  <c r="M58" i="16"/>
  <c r="N58" i="16" s="1"/>
  <c r="K18" i="13" l="1"/>
  <c r="K25" i="13"/>
  <c r="K153" i="13"/>
  <c r="L153" i="13" s="1"/>
  <c r="K152" i="13"/>
  <c r="L152" i="13" s="1"/>
  <c r="G152" i="13"/>
  <c r="H152" i="13" s="1"/>
  <c r="G153" i="13"/>
  <c r="H153" i="13" s="1"/>
  <c r="G45" i="13"/>
  <c r="H45" i="13" s="1"/>
  <c r="K45" i="13"/>
  <c r="L45" i="13" s="1"/>
  <c r="M100" i="15"/>
  <c r="N100" i="15" s="1"/>
  <c r="L213" i="15"/>
  <c r="M143" i="15"/>
  <c r="N143" i="15" s="1"/>
  <c r="M74" i="15"/>
  <c r="N74" i="15" s="1"/>
  <c r="L55" i="15"/>
  <c r="L201" i="15"/>
  <c r="L41" i="15"/>
  <c r="L202" i="15"/>
  <c r="M197" i="15"/>
  <c r="N197" i="15" s="1"/>
  <c r="L205" i="15"/>
  <c r="M204" i="15"/>
  <c r="N204" i="15" s="1"/>
  <c r="L200" i="15"/>
  <c r="M199" i="15"/>
  <c r="N199" i="15" s="1"/>
  <c r="M198" i="15"/>
  <c r="N198" i="15" s="1"/>
  <c r="L221" i="15"/>
  <c r="L214" i="14"/>
  <c r="K214" i="14"/>
  <c r="J214" i="14"/>
  <c r="N193" i="15"/>
  <c r="K193" i="15"/>
  <c r="L193" i="15" s="1"/>
  <c r="L149" i="13"/>
  <c r="K149" i="13"/>
  <c r="G149" i="13" s="1"/>
  <c r="H149" i="13" s="1"/>
  <c r="M193" i="15" l="1"/>
  <c r="I149" i="13"/>
  <c r="J149" i="13" s="1"/>
  <c r="L380" i="14" l="1"/>
  <c r="K380" i="14"/>
  <c r="J380" i="14"/>
  <c r="L378" i="14"/>
  <c r="K378" i="14"/>
  <c r="J378" i="14"/>
  <c r="I185" i="13"/>
  <c r="G185" i="13" s="1"/>
  <c r="H185" i="13" s="1"/>
  <c r="I141" i="13"/>
  <c r="G141" i="13" s="1"/>
  <c r="H141" i="13" s="1"/>
  <c r="K35" i="16"/>
  <c r="L35" i="16" s="1"/>
  <c r="M35" i="16"/>
  <c r="N35" i="16" s="1"/>
  <c r="K185" i="13" l="1"/>
  <c r="L185" i="13" s="1"/>
  <c r="J185" i="13"/>
  <c r="K141" i="13"/>
  <c r="L141" i="13" s="1"/>
  <c r="J141" i="13"/>
  <c r="J402" i="14"/>
  <c r="K402" i="14"/>
  <c r="L402" i="14"/>
  <c r="L381" i="14"/>
  <c r="K381" i="14"/>
  <c r="J381" i="14"/>
  <c r="L382" i="14"/>
  <c r="J382" i="14"/>
  <c r="K382" i="14"/>
  <c r="L379" i="14"/>
  <c r="J379" i="14"/>
  <c r="K379" i="14"/>
  <c r="K311" i="15"/>
  <c r="L311" i="15" s="1"/>
  <c r="K44" i="16"/>
  <c r="L44" i="16" s="1"/>
  <c r="M44" i="16"/>
  <c r="N44" i="16"/>
  <c r="K37" i="16"/>
  <c r="L37" i="16" s="1"/>
  <c r="M37" i="16"/>
  <c r="N37" i="16"/>
  <c r="K27" i="16"/>
  <c r="L27" i="16" s="1"/>
  <c r="M27" i="16"/>
  <c r="N27" i="16"/>
  <c r="K19" i="16"/>
  <c r="L19" i="16" s="1"/>
  <c r="M19" i="16"/>
  <c r="N19" i="16"/>
  <c r="J51" i="14"/>
  <c r="K51" i="14"/>
  <c r="L51" i="14"/>
  <c r="L61" i="14"/>
  <c r="K61" i="14"/>
  <c r="J61" i="14"/>
  <c r="J343" i="14"/>
  <c r="K343" i="14"/>
  <c r="L343" i="14"/>
  <c r="L349" i="14"/>
  <c r="K349" i="14"/>
  <c r="J349" i="14"/>
  <c r="L390" i="14"/>
  <c r="K390" i="14"/>
  <c r="J390" i="14"/>
  <c r="L389" i="14"/>
  <c r="K389" i="14"/>
  <c r="J389" i="14"/>
  <c r="L393" i="14"/>
  <c r="K393" i="14"/>
  <c r="J393" i="14"/>
  <c r="J43" i="14"/>
  <c r="K43" i="14"/>
  <c r="L43" i="14"/>
  <c r="J42" i="14"/>
  <c r="K42" i="14"/>
  <c r="L42" i="14"/>
  <c r="J41" i="14"/>
  <c r="K41" i="14"/>
  <c r="L41" i="14"/>
  <c r="L46" i="14"/>
  <c r="K46" i="14"/>
  <c r="J46" i="14"/>
  <c r="L45" i="14"/>
  <c r="K45" i="14"/>
  <c r="J45" i="14"/>
  <c r="M311" i="15" l="1"/>
  <c r="N311" i="15" s="1"/>
  <c r="J131" i="14"/>
  <c r="K131" i="14"/>
  <c r="L131" i="14"/>
  <c r="J130" i="14"/>
  <c r="K130" i="14"/>
  <c r="L130" i="14"/>
  <c r="J114" i="14"/>
  <c r="K114" i="14"/>
  <c r="L114" i="14"/>
  <c r="J115" i="14"/>
  <c r="K115" i="14"/>
  <c r="L115" i="14"/>
  <c r="J97" i="14"/>
  <c r="K97" i="14"/>
  <c r="L97" i="14"/>
  <c r="J98" i="14"/>
  <c r="K98" i="14"/>
  <c r="L98" i="14"/>
  <c r="J81" i="14"/>
  <c r="K81" i="14"/>
  <c r="L81" i="14"/>
  <c r="J82" i="14"/>
  <c r="K82" i="14"/>
  <c r="L82" i="14"/>
  <c r="J60" i="14"/>
  <c r="K60" i="14"/>
  <c r="L60" i="14"/>
  <c r="J365" i="14"/>
  <c r="K365" i="14"/>
  <c r="L365" i="14"/>
  <c r="J366" i="14"/>
  <c r="K366" i="14"/>
  <c r="L366" i="14"/>
  <c r="J348" i="14"/>
  <c r="K348" i="14"/>
  <c r="L348" i="14"/>
  <c r="J244" i="14" l="1"/>
  <c r="K244" i="14"/>
  <c r="L244" i="14"/>
  <c r="J65" i="14"/>
  <c r="K65" i="14"/>
  <c r="L65" i="14"/>
  <c r="L50" i="14"/>
  <c r="J50" i="14"/>
  <c r="K50" i="14"/>
  <c r="L27" i="14"/>
  <c r="J27" i="14"/>
  <c r="K27" i="14"/>
  <c r="J16" i="14"/>
  <c r="K16" i="14"/>
  <c r="L16" i="14"/>
  <c r="K300" i="15" l="1"/>
  <c r="M300" i="15" s="1"/>
  <c r="N300" i="15"/>
  <c r="K291" i="15"/>
  <c r="M291" i="15" s="1"/>
  <c r="N291" i="15"/>
  <c r="K280" i="15"/>
  <c r="M280" i="15" s="1"/>
  <c r="N280" i="15"/>
  <c r="K271" i="15"/>
  <c r="M271" i="15" s="1"/>
  <c r="N271" i="15"/>
  <c r="K241" i="15"/>
  <c r="M241" i="15" s="1"/>
  <c r="N241" i="15"/>
  <c r="K250" i="15"/>
  <c r="L250" i="15" s="1"/>
  <c r="N250" i="15"/>
  <c r="K225" i="15"/>
  <c r="M225" i="15" s="1"/>
  <c r="N225" i="15"/>
  <c r="K219" i="15"/>
  <c r="M219" i="15" s="1"/>
  <c r="N219" i="15"/>
  <c r="K220" i="15"/>
  <c r="L220" i="15" s="1"/>
  <c r="M220" i="15"/>
  <c r="N220" i="15" s="1"/>
  <c r="K212" i="15"/>
  <c r="L212" i="15" s="1"/>
  <c r="N212" i="15"/>
  <c r="K99" i="15"/>
  <c r="L99" i="15" s="1"/>
  <c r="N99" i="15"/>
  <c r="N89" i="15"/>
  <c r="G87" i="15"/>
  <c r="K89" i="15" s="1"/>
  <c r="M89" i="15" s="1"/>
  <c r="K82" i="15"/>
  <c r="M82" i="15" s="1"/>
  <c r="N82" i="15"/>
  <c r="K73" i="15"/>
  <c r="M73" i="15" s="1"/>
  <c r="N73" i="15"/>
  <c r="K63" i="15"/>
  <c r="M63" i="15" s="1"/>
  <c r="N63" i="15"/>
  <c r="K54" i="15"/>
  <c r="L54" i="15" s="1"/>
  <c r="N54" i="15"/>
  <c r="K40" i="15"/>
  <c r="M40" i="15" s="1"/>
  <c r="N40" i="15"/>
  <c r="K32" i="15"/>
  <c r="M32" i="15" s="1"/>
  <c r="N32" i="15"/>
  <c r="K25" i="15"/>
  <c r="M25" i="15" s="1"/>
  <c r="N25" i="15"/>
  <c r="K18" i="15"/>
  <c r="M18" i="15" s="1"/>
  <c r="N18" i="15"/>
  <c r="K142" i="15"/>
  <c r="L142" i="15" s="1"/>
  <c r="N142" i="15"/>
  <c r="K128" i="15"/>
  <c r="L128" i="15" s="1"/>
  <c r="N128" i="15"/>
  <c r="K116" i="15"/>
  <c r="L116" i="15" s="1"/>
  <c r="N116" i="15"/>
  <c r="J364" i="14"/>
  <c r="K364" i="14"/>
  <c r="L364" i="14"/>
  <c r="J347" i="14"/>
  <c r="K347" i="14"/>
  <c r="L347" i="14"/>
  <c r="J329" i="14"/>
  <c r="K329" i="14"/>
  <c r="L329" i="14"/>
  <c r="L313" i="14"/>
  <c r="K313" i="14"/>
  <c r="J313" i="14"/>
  <c r="J285" i="14"/>
  <c r="K285" i="14"/>
  <c r="L285" i="14"/>
  <c r="J271" i="14"/>
  <c r="K271" i="14"/>
  <c r="L271" i="14"/>
  <c r="L250" i="14"/>
  <c r="J250" i="14"/>
  <c r="K250" i="14"/>
  <c r="J239" i="14"/>
  <c r="K239" i="14"/>
  <c r="L239" i="14"/>
  <c r="J233" i="14"/>
  <c r="K233" i="14"/>
  <c r="L233" i="14"/>
  <c r="J151" i="14"/>
  <c r="K151" i="14"/>
  <c r="L151" i="14"/>
  <c r="J141" i="14"/>
  <c r="K141" i="14"/>
  <c r="L141" i="14"/>
  <c r="L129" i="14"/>
  <c r="J129" i="14"/>
  <c r="K129" i="14"/>
  <c r="J113" i="14"/>
  <c r="K113" i="14"/>
  <c r="L113" i="14"/>
  <c r="J96" i="14"/>
  <c r="K96" i="14"/>
  <c r="L96" i="14"/>
  <c r="J80" i="14"/>
  <c r="K80" i="14"/>
  <c r="L80" i="14"/>
  <c r="J59" i="14"/>
  <c r="K59" i="14"/>
  <c r="L59" i="14"/>
  <c r="J44" i="14"/>
  <c r="K44" i="14"/>
  <c r="L44" i="14"/>
  <c r="J31" i="14"/>
  <c r="K31" i="14"/>
  <c r="L31" i="14"/>
  <c r="J23" i="14"/>
  <c r="K23" i="14"/>
  <c r="L23" i="14"/>
  <c r="J179" i="14"/>
  <c r="K179" i="14"/>
  <c r="L179" i="14"/>
  <c r="J170" i="14"/>
  <c r="K170" i="14"/>
  <c r="L170" i="14"/>
  <c r="J164" i="14"/>
  <c r="K164" i="14"/>
  <c r="L164" i="14"/>
  <c r="M54" i="15" l="1"/>
  <c r="L73" i="15"/>
  <c r="L89" i="15"/>
  <c r="L300" i="15"/>
  <c r="L291" i="15"/>
  <c r="L280" i="15"/>
  <c r="L271" i="15"/>
  <c r="L241" i="15"/>
  <c r="M250" i="15"/>
  <c r="L225" i="15"/>
  <c r="L219" i="15"/>
  <c r="M212" i="15"/>
  <c r="M99" i="15"/>
  <c r="L82" i="15"/>
  <c r="L63" i="15"/>
  <c r="L40" i="15"/>
  <c r="L32" i="15"/>
  <c r="L25" i="15"/>
  <c r="L18" i="15"/>
  <c r="M142" i="15"/>
  <c r="M128" i="15"/>
  <c r="M116" i="15"/>
  <c r="K47" i="15" l="1"/>
  <c r="M47" i="15" s="1"/>
  <c r="N47" i="15" l="1"/>
  <c r="L47" i="15"/>
  <c r="J272" i="14" l="1"/>
  <c r="K272" i="14"/>
  <c r="L272" i="14"/>
  <c r="M159" i="7" l="1"/>
  <c r="M160" i="7"/>
  <c r="M161" i="7"/>
  <c r="M162" i="7"/>
  <c r="M163" i="7"/>
  <c r="M164" i="7"/>
  <c r="M165" i="7"/>
  <c r="M166" i="7"/>
  <c r="M167" i="7"/>
  <c r="M168" i="7"/>
  <c r="M169" i="7"/>
  <c r="M170" i="7"/>
  <c r="M171" i="7"/>
  <c r="M172" i="7"/>
  <c r="M173" i="7"/>
  <c r="M174" i="7"/>
  <c r="L159" i="7"/>
  <c r="L160" i="7"/>
  <c r="L161" i="7"/>
  <c r="L162" i="7"/>
  <c r="L163" i="7"/>
  <c r="L164" i="7"/>
  <c r="L165" i="7"/>
  <c r="L166" i="7"/>
  <c r="L167" i="7"/>
  <c r="L168" i="7"/>
  <c r="L169" i="7"/>
  <c r="L170" i="7"/>
  <c r="L171" i="7"/>
  <c r="L172" i="7"/>
  <c r="L173" i="7"/>
  <c r="L174" i="7"/>
  <c r="I150" i="13"/>
  <c r="J150" i="13" s="1"/>
  <c r="J215" i="14"/>
  <c r="K215" i="14"/>
  <c r="L215" i="14"/>
  <c r="M195" i="15"/>
  <c r="N195" i="15" s="1"/>
  <c r="K195" i="15"/>
  <c r="L195" i="15" s="1"/>
  <c r="M194" i="15"/>
  <c r="N194" i="15" s="1"/>
  <c r="K194" i="15"/>
  <c r="L194" i="15" s="1"/>
  <c r="I287" i="13"/>
  <c r="J287" i="13" s="1"/>
  <c r="J397" i="14"/>
  <c r="K397" i="14"/>
  <c r="L397" i="14"/>
  <c r="J398" i="14"/>
  <c r="K398" i="14"/>
  <c r="L398" i="14"/>
  <c r="K326" i="15"/>
  <c r="L326" i="15" s="1"/>
  <c r="M326" i="15"/>
  <c r="N326" i="15" s="1"/>
  <c r="K328" i="15"/>
  <c r="L328" i="15" s="1"/>
  <c r="M328" i="15"/>
  <c r="N328" i="15" s="1"/>
  <c r="K318" i="15"/>
  <c r="L318" i="15" s="1"/>
  <c r="M318" i="15"/>
  <c r="N318" i="15" s="1"/>
  <c r="K319" i="15"/>
  <c r="L319" i="15" s="1"/>
  <c r="M319" i="15"/>
  <c r="N319" i="15" s="1"/>
  <c r="K320" i="15"/>
  <c r="L320" i="15" s="1"/>
  <c r="M320" i="15"/>
  <c r="N320" i="15" s="1"/>
  <c r="J391" i="14"/>
  <c r="K391" i="14"/>
  <c r="L391" i="14"/>
  <c r="J392" i="14"/>
  <c r="K392" i="14"/>
  <c r="L392" i="14"/>
  <c r="I283" i="13"/>
  <c r="K283" i="13" s="1"/>
  <c r="L283" i="13" s="1"/>
  <c r="I281" i="13"/>
  <c r="J281" i="13" s="1"/>
  <c r="I282" i="13"/>
  <c r="J282" i="13" s="1"/>
  <c r="K315" i="15"/>
  <c r="L315" i="15" s="1"/>
  <c r="M315" i="15"/>
  <c r="N315" i="15" s="1"/>
  <c r="K316" i="15"/>
  <c r="L316" i="15" s="1"/>
  <c r="M316" i="15"/>
  <c r="N316" i="15" s="1"/>
  <c r="K317" i="15"/>
  <c r="L317" i="15" s="1"/>
  <c r="M317" i="15"/>
  <c r="N317" i="15" s="1"/>
  <c r="J386" i="14"/>
  <c r="K386" i="14"/>
  <c r="L386" i="14"/>
  <c r="J387" i="14"/>
  <c r="K387" i="14"/>
  <c r="L387" i="14"/>
  <c r="J388" i="14"/>
  <c r="K388" i="14"/>
  <c r="L388" i="14"/>
  <c r="J385" i="14"/>
  <c r="K385" i="14"/>
  <c r="L385" i="14"/>
  <c r="J384" i="14"/>
  <c r="K384" i="14"/>
  <c r="L384" i="14"/>
  <c r="J383" i="14"/>
  <c r="K383" i="14"/>
  <c r="L383" i="14"/>
  <c r="K314" i="15"/>
  <c r="L314" i="15" s="1"/>
  <c r="M314" i="15"/>
  <c r="N314" i="15" s="1"/>
  <c r="K313" i="15"/>
  <c r="L313" i="15" s="1"/>
  <c r="M313" i="15"/>
  <c r="N313" i="15" s="1"/>
  <c r="K312" i="15"/>
  <c r="L312" i="15" s="1"/>
  <c r="M312" i="15"/>
  <c r="N312" i="15" s="1"/>
  <c r="G281" i="13" l="1"/>
  <c r="H281" i="13" s="1"/>
  <c r="K281" i="13"/>
  <c r="L281" i="13" s="1"/>
  <c r="K282" i="13"/>
  <c r="L282" i="13" s="1"/>
  <c r="G150" i="13"/>
  <c r="H150" i="13" s="1"/>
  <c r="K150" i="13"/>
  <c r="L150" i="13" s="1"/>
  <c r="K287" i="13"/>
  <c r="L287" i="13" s="1"/>
  <c r="G287" i="13"/>
  <c r="H287" i="13" s="1"/>
  <c r="J283" i="13"/>
  <c r="G283" i="13"/>
  <c r="H283" i="13" s="1"/>
  <c r="G282" i="13"/>
  <c r="H282" i="13" s="1"/>
  <c r="K88" i="16"/>
  <c r="L88" i="16" s="1"/>
  <c r="K25" i="16"/>
  <c r="L25" i="16" s="1"/>
  <c r="M25" i="16"/>
  <c r="N25" i="16" s="1"/>
  <c r="M88" i="16" l="1"/>
  <c r="N88" i="16" s="1"/>
  <c r="C75" i="17" l="1"/>
  <c r="K116" i="16"/>
  <c r="K115" i="16"/>
  <c r="K119" i="16"/>
  <c r="K106" i="16"/>
  <c r="K105" i="16"/>
  <c r="L105" i="16" s="1"/>
  <c r="K104" i="16"/>
  <c r="K103" i="16"/>
  <c r="K101" i="16"/>
  <c r="K100" i="16"/>
  <c r="K99" i="16"/>
  <c r="K97" i="16"/>
  <c r="K96" i="16"/>
  <c r="K95" i="16"/>
  <c r="K90" i="16"/>
  <c r="K89" i="16"/>
  <c r="K83" i="16"/>
  <c r="K82" i="16"/>
  <c r="K81" i="16"/>
  <c r="K76" i="16"/>
  <c r="K74" i="16"/>
  <c r="K68" i="16"/>
  <c r="K67" i="16"/>
  <c r="K63" i="16"/>
  <c r="M63" i="16" s="1"/>
  <c r="N63" i="16" s="1"/>
  <c r="N65" i="16"/>
  <c r="M65" i="16"/>
  <c r="K65" i="16"/>
  <c r="L65" i="16" s="1"/>
  <c r="N64" i="16"/>
  <c r="M64" i="16"/>
  <c r="K64" i="16"/>
  <c r="L64" i="16" s="1"/>
  <c r="K62" i="16"/>
  <c r="N60" i="16"/>
  <c r="M60" i="16"/>
  <c r="K60" i="16"/>
  <c r="L60" i="16" s="1"/>
  <c r="K59" i="16"/>
  <c r="K58" i="16"/>
  <c r="L58" i="16" s="1"/>
  <c r="N53" i="16"/>
  <c r="M53" i="16"/>
  <c r="K53" i="16"/>
  <c r="L53" i="16" s="1"/>
  <c r="N52" i="16"/>
  <c r="M52" i="16"/>
  <c r="K52" i="16"/>
  <c r="L52" i="16" s="1"/>
  <c r="N51" i="16"/>
  <c r="M51" i="16"/>
  <c r="G51" i="16"/>
  <c r="K51" i="16" s="1"/>
  <c r="L51" i="16" s="1"/>
  <c r="C51" i="16"/>
  <c r="N50" i="16"/>
  <c r="M50" i="16"/>
  <c r="K50" i="16"/>
  <c r="L50" i="16" s="1"/>
  <c r="N46" i="16"/>
  <c r="M46" i="16"/>
  <c r="K46" i="16"/>
  <c r="L46" i="16" s="1"/>
  <c r="N45" i="16"/>
  <c r="M45" i="16"/>
  <c r="K45" i="16"/>
  <c r="L45" i="16" s="1"/>
  <c r="M36" i="16"/>
  <c r="N36" i="16" s="1"/>
  <c r="K36" i="16"/>
  <c r="L36" i="16" s="1"/>
  <c r="N40" i="16"/>
  <c r="M40" i="16"/>
  <c r="K40" i="16"/>
  <c r="L40" i="16" s="1"/>
  <c r="N39" i="16"/>
  <c r="M39" i="16"/>
  <c r="K39" i="16"/>
  <c r="L39" i="16" s="1"/>
  <c r="N38" i="16"/>
  <c r="M38" i="16"/>
  <c r="K38" i="16"/>
  <c r="L38" i="16" s="1"/>
  <c r="K26" i="16"/>
  <c r="M26" i="16" s="1"/>
  <c r="N26" i="16" s="1"/>
  <c r="M24" i="16"/>
  <c r="N24" i="16" s="1"/>
  <c r="K24" i="16"/>
  <c r="L24" i="16" s="1"/>
  <c r="M23" i="16"/>
  <c r="N23" i="16" s="1"/>
  <c r="K23" i="16"/>
  <c r="L23" i="16" s="1"/>
  <c r="M22" i="16"/>
  <c r="N22" i="16" s="1"/>
  <c r="K22" i="16"/>
  <c r="L22" i="16" s="1"/>
  <c r="N31" i="16"/>
  <c r="M31" i="16"/>
  <c r="K31" i="16"/>
  <c r="L31" i="16" s="1"/>
  <c r="N30" i="16"/>
  <c r="M30" i="16"/>
  <c r="K30" i="16"/>
  <c r="L30" i="16" s="1"/>
  <c r="N29" i="16"/>
  <c r="M29" i="16"/>
  <c r="K29" i="16"/>
  <c r="L29" i="16" s="1"/>
  <c r="N28" i="16"/>
  <c r="M28" i="16"/>
  <c r="K28" i="16"/>
  <c r="L28" i="16" s="1"/>
  <c r="N21" i="16"/>
  <c r="M21" i="16"/>
  <c r="K21" i="16"/>
  <c r="L21" i="16" s="1"/>
  <c r="N20" i="16"/>
  <c r="M20" i="16"/>
  <c r="K20" i="16"/>
  <c r="L20" i="16" s="1"/>
  <c r="N18" i="16"/>
  <c r="M18" i="16"/>
  <c r="K18" i="16"/>
  <c r="L18" i="16" s="1"/>
  <c r="N17" i="16"/>
  <c r="M17" i="16"/>
  <c r="K17" i="16"/>
  <c r="L17" i="16" s="1"/>
  <c r="N16" i="16"/>
  <c r="M16" i="16"/>
  <c r="K16" i="16"/>
  <c r="L16" i="16" s="1"/>
  <c r="N15" i="16"/>
  <c r="M15" i="16"/>
  <c r="K15" i="16"/>
  <c r="L15" i="16" s="1"/>
  <c r="N14" i="16"/>
  <c r="M14" i="16"/>
  <c r="K14" i="16"/>
  <c r="L14" i="16" s="1"/>
  <c r="N13" i="16"/>
  <c r="M13" i="16"/>
  <c r="K13" i="16"/>
  <c r="L13" i="16" s="1"/>
  <c r="N12" i="16"/>
  <c r="M12" i="16"/>
  <c r="K12" i="16"/>
  <c r="L12" i="16" s="1"/>
  <c r="N11" i="16"/>
  <c r="M11" i="16"/>
  <c r="K11" i="16"/>
  <c r="L11" i="16" s="1"/>
  <c r="M325" i="15"/>
  <c r="N325" i="15" s="1"/>
  <c r="K325" i="15"/>
  <c r="L325" i="15" s="1"/>
  <c r="M324" i="15"/>
  <c r="N324" i="15" s="1"/>
  <c r="K324" i="15"/>
  <c r="L324" i="15" s="1"/>
  <c r="M323" i="15"/>
  <c r="N323" i="15" s="1"/>
  <c r="K323" i="15"/>
  <c r="L323" i="15" s="1"/>
  <c r="M322" i="15"/>
  <c r="N322" i="15" s="1"/>
  <c r="K322" i="15"/>
  <c r="L322" i="15" s="1"/>
  <c r="M333" i="15"/>
  <c r="N333" i="15" s="1"/>
  <c r="K333" i="15"/>
  <c r="L333" i="15" s="1"/>
  <c r="M332" i="15"/>
  <c r="N332" i="15" s="1"/>
  <c r="K332" i="15"/>
  <c r="L332" i="15" s="1"/>
  <c r="N331" i="15"/>
  <c r="K331" i="15"/>
  <c r="L331" i="15" s="1"/>
  <c r="N330" i="15"/>
  <c r="K330" i="15"/>
  <c r="M330" i="15" s="1"/>
  <c r="M310" i="15"/>
  <c r="N310" i="15" s="1"/>
  <c r="K310" i="15"/>
  <c r="L310" i="15" s="1"/>
  <c r="M309" i="15"/>
  <c r="N309" i="15" s="1"/>
  <c r="K309" i="15"/>
  <c r="L309" i="15" s="1"/>
  <c r="N308" i="15"/>
  <c r="K308" i="15"/>
  <c r="M308" i="15" s="1"/>
  <c r="M303" i="15"/>
  <c r="N303" i="15" s="1"/>
  <c r="K303" i="15"/>
  <c r="L303" i="15" s="1"/>
  <c r="M301" i="15"/>
  <c r="N301" i="15" s="1"/>
  <c r="K301" i="15"/>
  <c r="L301" i="15" s="1"/>
  <c r="N299" i="15"/>
  <c r="K299" i="15"/>
  <c r="M299" i="15" s="1"/>
  <c r="L298" i="15"/>
  <c r="K298" i="15"/>
  <c r="M298" i="15" s="1"/>
  <c r="N298" i="15" s="1"/>
  <c r="L297" i="15"/>
  <c r="K297" i="15"/>
  <c r="M297" i="15" s="1"/>
  <c r="N297" i="15" s="1"/>
  <c r="K296" i="15"/>
  <c r="M296" i="15" s="1"/>
  <c r="N296" i="15" s="1"/>
  <c r="M295" i="15"/>
  <c r="N295" i="15" s="1"/>
  <c r="K295" i="15"/>
  <c r="L295" i="15" s="1"/>
  <c r="M293" i="15"/>
  <c r="N293" i="15" s="1"/>
  <c r="K293" i="15"/>
  <c r="L293" i="15" s="1"/>
  <c r="M292" i="15"/>
  <c r="N292" i="15" s="1"/>
  <c r="K292" i="15"/>
  <c r="L292" i="15" s="1"/>
  <c r="N290" i="15"/>
  <c r="K290" i="15"/>
  <c r="M290" i="15" s="1"/>
  <c r="K285" i="15"/>
  <c r="M285" i="15" s="1"/>
  <c r="N285" i="15" s="1"/>
  <c r="L289" i="15"/>
  <c r="K289" i="15"/>
  <c r="M289" i="15" s="1"/>
  <c r="N289" i="15" s="1"/>
  <c r="L288" i="15"/>
  <c r="K288" i="15"/>
  <c r="M288" i="15" s="1"/>
  <c r="N288" i="15" s="1"/>
  <c r="K286" i="15"/>
  <c r="M286" i="15" s="1"/>
  <c r="N286" i="15" s="1"/>
  <c r="K287" i="15"/>
  <c r="M287" i="15" s="1"/>
  <c r="N287" i="15" s="1"/>
  <c r="M284" i="15"/>
  <c r="N284" i="15" s="1"/>
  <c r="K284" i="15"/>
  <c r="L284" i="15" s="1"/>
  <c r="M283" i="15"/>
  <c r="N283" i="15" s="1"/>
  <c r="K283" i="15"/>
  <c r="L283" i="15" s="1"/>
  <c r="M282" i="15"/>
  <c r="N282" i="15" s="1"/>
  <c r="K282" i="15"/>
  <c r="L282" i="15" s="1"/>
  <c r="M281" i="15"/>
  <c r="N281" i="15" s="1"/>
  <c r="K281" i="15"/>
  <c r="L281" i="15" s="1"/>
  <c r="N279" i="15"/>
  <c r="K279" i="15"/>
  <c r="M279" i="15" s="1"/>
  <c r="L278" i="15"/>
  <c r="K278" i="15"/>
  <c r="M278" i="15" s="1"/>
  <c r="N278" i="15" s="1"/>
  <c r="L277" i="15"/>
  <c r="K277" i="15"/>
  <c r="M277" i="15" s="1"/>
  <c r="N277" i="15" s="1"/>
  <c r="K276" i="15"/>
  <c r="M276" i="15" s="1"/>
  <c r="N276" i="15" s="1"/>
  <c r="M275" i="15"/>
  <c r="N275" i="15" s="1"/>
  <c r="K275" i="15"/>
  <c r="L275" i="15" s="1"/>
  <c r="M274" i="15"/>
  <c r="N274" i="15" s="1"/>
  <c r="K274" i="15"/>
  <c r="L274" i="15" s="1"/>
  <c r="M272" i="15"/>
  <c r="N272" i="15" s="1"/>
  <c r="K272" i="15"/>
  <c r="L272" i="15" s="1"/>
  <c r="N270" i="15"/>
  <c r="K270" i="15"/>
  <c r="M270" i="15" s="1"/>
  <c r="L269" i="15"/>
  <c r="K269" i="15"/>
  <c r="M269" i="15" s="1"/>
  <c r="N269" i="15" s="1"/>
  <c r="L268" i="15"/>
  <c r="K268" i="15"/>
  <c r="M268" i="15" s="1"/>
  <c r="N268" i="15" s="1"/>
  <c r="K267" i="15"/>
  <c r="M267" i="15" s="1"/>
  <c r="N267" i="15" s="1"/>
  <c r="M265" i="15"/>
  <c r="N265" i="15" s="1"/>
  <c r="K265" i="15"/>
  <c r="L265" i="15" s="1"/>
  <c r="M264" i="15"/>
  <c r="N264" i="15" s="1"/>
  <c r="K264" i="15"/>
  <c r="L264" i="15" s="1"/>
  <c r="M263" i="15"/>
  <c r="N263" i="15" s="1"/>
  <c r="K263" i="15"/>
  <c r="L263" i="15" s="1"/>
  <c r="M262" i="15"/>
  <c r="N262" i="15" s="1"/>
  <c r="K262" i="15"/>
  <c r="L262" i="15" s="1"/>
  <c r="M261" i="15"/>
  <c r="N261" i="15" s="1"/>
  <c r="K261" i="15"/>
  <c r="L261" i="15" s="1"/>
  <c r="M260" i="15"/>
  <c r="N260" i="15" s="1"/>
  <c r="K260" i="15"/>
  <c r="L260" i="15" s="1"/>
  <c r="M259" i="15"/>
  <c r="N259" i="15" s="1"/>
  <c r="K259" i="15"/>
  <c r="L259" i="15" s="1"/>
  <c r="M258" i="15"/>
  <c r="N258" i="15" s="1"/>
  <c r="K258" i="15"/>
  <c r="L258" i="15" s="1"/>
  <c r="M257" i="15"/>
  <c r="N257" i="15" s="1"/>
  <c r="K257" i="15"/>
  <c r="L257" i="15" s="1"/>
  <c r="M256" i="15"/>
  <c r="N256" i="15" s="1"/>
  <c r="K256" i="15"/>
  <c r="L256" i="15" s="1"/>
  <c r="M254" i="15"/>
  <c r="N254" i="15" s="1"/>
  <c r="K254" i="15"/>
  <c r="L254" i="15" s="1"/>
  <c r="M253" i="15"/>
  <c r="N253" i="15" s="1"/>
  <c r="K253" i="15"/>
  <c r="L253" i="15" s="1"/>
  <c r="M251" i="15"/>
  <c r="N251" i="15" s="1"/>
  <c r="K251" i="15"/>
  <c r="L251" i="15" s="1"/>
  <c r="N249" i="15"/>
  <c r="K249" i="15"/>
  <c r="L249" i="15" s="1"/>
  <c r="K246" i="15"/>
  <c r="M246" i="15" s="1"/>
  <c r="N246" i="15" s="1"/>
  <c r="L248" i="15"/>
  <c r="K248" i="15"/>
  <c r="M248" i="15" s="1"/>
  <c r="N248" i="15" s="1"/>
  <c r="L247" i="15"/>
  <c r="K247" i="15"/>
  <c r="M247" i="15" s="1"/>
  <c r="N247" i="15" s="1"/>
  <c r="M245" i="15"/>
  <c r="N245" i="15" s="1"/>
  <c r="K245" i="15"/>
  <c r="L245" i="15" s="1"/>
  <c r="M244" i="15"/>
  <c r="N244" i="15" s="1"/>
  <c r="K244" i="15"/>
  <c r="L244" i="15" s="1"/>
  <c r="M242" i="15"/>
  <c r="N242" i="15" s="1"/>
  <c r="K242" i="15"/>
  <c r="L242" i="15" s="1"/>
  <c r="N240" i="15"/>
  <c r="K240" i="15"/>
  <c r="M240" i="15" s="1"/>
  <c r="L239" i="15"/>
  <c r="K239" i="15"/>
  <c r="M239" i="15" s="1"/>
  <c r="N239" i="15" s="1"/>
  <c r="L238" i="15"/>
  <c r="K238" i="15"/>
  <c r="M238" i="15" s="1"/>
  <c r="N238" i="15" s="1"/>
  <c r="M237" i="15"/>
  <c r="N237" i="15" s="1"/>
  <c r="K237" i="15"/>
  <c r="L237" i="15" s="1"/>
  <c r="M236" i="15"/>
  <c r="N236" i="15" s="1"/>
  <c r="K236" i="15"/>
  <c r="L236" i="15" s="1"/>
  <c r="N235" i="15"/>
  <c r="K235" i="15"/>
  <c r="M235" i="15" s="1"/>
  <c r="M229" i="15"/>
  <c r="N229" i="15" s="1"/>
  <c r="K229" i="15"/>
  <c r="L229" i="15" s="1"/>
  <c r="M228" i="15"/>
  <c r="N228" i="15" s="1"/>
  <c r="K228" i="15"/>
  <c r="L228" i="15" s="1"/>
  <c r="M226" i="15"/>
  <c r="N226" i="15" s="1"/>
  <c r="K226" i="15"/>
  <c r="L226" i="15" s="1"/>
  <c r="N224" i="15"/>
  <c r="K224" i="15"/>
  <c r="L224" i="15" s="1"/>
  <c r="M223" i="15"/>
  <c r="N223" i="15" s="1"/>
  <c r="K223" i="15"/>
  <c r="L223" i="15" s="1"/>
  <c r="M222" i="15"/>
  <c r="N222" i="15" s="1"/>
  <c r="K222" i="15"/>
  <c r="L222" i="15" s="1"/>
  <c r="N218" i="15"/>
  <c r="K218" i="15"/>
  <c r="M218" i="15" s="1"/>
  <c r="N211" i="15"/>
  <c r="K211" i="15"/>
  <c r="L211" i="15" s="1"/>
  <c r="M217" i="15"/>
  <c r="N217" i="15" s="1"/>
  <c r="K217" i="15"/>
  <c r="L217" i="15" s="1"/>
  <c r="M216" i="15"/>
  <c r="N216" i="15" s="1"/>
  <c r="K216" i="15"/>
  <c r="L216" i="15" s="1"/>
  <c r="M215" i="15"/>
  <c r="N215" i="15" s="1"/>
  <c r="K215" i="15"/>
  <c r="L215" i="15" s="1"/>
  <c r="M214" i="15"/>
  <c r="N214" i="15" s="1"/>
  <c r="K214" i="15"/>
  <c r="L214" i="15" s="1"/>
  <c r="L210" i="15"/>
  <c r="K210" i="15"/>
  <c r="M210" i="15" s="1"/>
  <c r="N210" i="15" s="1"/>
  <c r="M192" i="15"/>
  <c r="N192" i="15" s="1"/>
  <c r="K192" i="15"/>
  <c r="L192" i="15" s="1"/>
  <c r="M191" i="15"/>
  <c r="N191" i="15" s="1"/>
  <c r="K191" i="15"/>
  <c r="L191" i="15" s="1"/>
  <c r="M190" i="15"/>
  <c r="N190" i="15" s="1"/>
  <c r="K190" i="15"/>
  <c r="L190" i="15" s="1"/>
  <c r="N189" i="15"/>
  <c r="K189" i="15"/>
  <c r="M189" i="15" s="1"/>
  <c r="M188" i="15"/>
  <c r="N188" i="15" s="1"/>
  <c r="K188" i="15"/>
  <c r="L188" i="15" s="1"/>
  <c r="M187" i="15"/>
  <c r="N187" i="15" s="1"/>
  <c r="K187" i="15"/>
  <c r="L187" i="15" s="1"/>
  <c r="M186" i="15"/>
  <c r="N186" i="15" s="1"/>
  <c r="K186" i="15"/>
  <c r="L186" i="15" s="1"/>
  <c r="M185" i="15"/>
  <c r="N185" i="15" s="1"/>
  <c r="K185" i="15"/>
  <c r="L185" i="15" s="1"/>
  <c r="N184" i="15"/>
  <c r="K184" i="15"/>
  <c r="M184" i="15" s="1"/>
  <c r="M183" i="15"/>
  <c r="N183" i="15" s="1"/>
  <c r="K183" i="15"/>
  <c r="L183" i="15" s="1"/>
  <c r="M182" i="15"/>
  <c r="N182" i="15" s="1"/>
  <c r="K182" i="15"/>
  <c r="L182" i="15" s="1"/>
  <c r="N181" i="15"/>
  <c r="K181" i="15"/>
  <c r="M181" i="15" s="1"/>
  <c r="M170" i="15"/>
  <c r="N170" i="15" s="1"/>
  <c r="K170" i="15"/>
  <c r="L170" i="15" s="1"/>
  <c r="M169" i="15"/>
  <c r="N169" i="15" s="1"/>
  <c r="K169" i="15"/>
  <c r="L169" i="15" s="1"/>
  <c r="M168" i="15"/>
  <c r="N168" i="15" s="1"/>
  <c r="K168" i="15"/>
  <c r="L168" i="15" s="1"/>
  <c r="N166" i="15"/>
  <c r="K166" i="15"/>
  <c r="L166" i="15" s="1"/>
  <c r="N167" i="15"/>
  <c r="K167" i="15"/>
  <c r="M167" i="15" s="1"/>
  <c r="M165" i="15"/>
  <c r="N165" i="15" s="1"/>
  <c r="K165" i="15"/>
  <c r="L165" i="15" s="1"/>
  <c r="M164" i="15"/>
  <c r="N164" i="15" s="1"/>
  <c r="K164" i="15"/>
  <c r="L164" i="15" s="1"/>
  <c r="M155" i="15"/>
  <c r="N155" i="15" s="1"/>
  <c r="K155" i="15"/>
  <c r="L155" i="15" s="1"/>
  <c r="M154" i="15"/>
  <c r="N154" i="15" s="1"/>
  <c r="K154" i="15"/>
  <c r="L154" i="15" s="1"/>
  <c r="M153" i="15"/>
  <c r="N153" i="15" s="1"/>
  <c r="K153" i="15"/>
  <c r="L153" i="15" s="1"/>
  <c r="N152" i="15"/>
  <c r="K152" i="15"/>
  <c r="M152" i="15" s="1"/>
  <c r="M151" i="15"/>
  <c r="N151" i="15" s="1"/>
  <c r="K151" i="15"/>
  <c r="L151" i="15" s="1"/>
  <c r="M150" i="15"/>
  <c r="N150" i="15" s="1"/>
  <c r="K150" i="15"/>
  <c r="L150" i="15" s="1"/>
  <c r="M149" i="15"/>
  <c r="N149" i="15" s="1"/>
  <c r="K149" i="15"/>
  <c r="L149" i="15" s="1"/>
  <c r="M148" i="15"/>
  <c r="N148" i="15" s="1"/>
  <c r="K148" i="15"/>
  <c r="L148" i="15" s="1"/>
  <c r="M147" i="15"/>
  <c r="N147" i="15" s="1"/>
  <c r="K147" i="15"/>
  <c r="L147" i="15" s="1"/>
  <c r="M146" i="15"/>
  <c r="N146" i="15" s="1"/>
  <c r="K146" i="15"/>
  <c r="L146" i="15" s="1"/>
  <c r="M145" i="15"/>
  <c r="N145" i="15" s="1"/>
  <c r="K145" i="15"/>
  <c r="L145" i="15" s="1"/>
  <c r="N140" i="15"/>
  <c r="K140" i="15"/>
  <c r="M140" i="15" s="1"/>
  <c r="L139" i="15"/>
  <c r="K139" i="15"/>
  <c r="M139" i="15" s="1"/>
  <c r="N139" i="15" s="1"/>
  <c r="K141" i="15"/>
  <c r="L141" i="15" s="1"/>
  <c r="M138" i="15"/>
  <c r="N138" i="15" s="1"/>
  <c r="K138" i="15"/>
  <c r="L138" i="15" s="1"/>
  <c r="M137" i="15"/>
  <c r="N137" i="15" s="1"/>
  <c r="K137" i="15"/>
  <c r="L137" i="15" s="1"/>
  <c r="M136" i="15"/>
  <c r="N136" i="15" s="1"/>
  <c r="K136" i="15"/>
  <c r="L136" i="15" s="1"/>
  <c r="M135" i="15"/>
  <c r="N135" i="15" s="1"/>
  <c r="K135" i="15"/>
  <c r="L135" i="15" s="1"/>
  <c r="M134" i="15"/>
  <c r="N134" i="15" s="1"/>
  <c r="K134" i="15"/>
  <c r="L134" i="15" s="1"/>
  <c r="M133" i="15"/>
  <c r="N133" i="15" s="1"/>
  <c r="K133" i="15"/>
  <c r="L133" i="15" s="1"/>
  <c r="M132" i="15"/>
  <c r="N132" i="15" s="1"/>
  <c r="K132" i="15"/>
  <c r="L132" i="15" s="1"/>
  <c r="M131" i="15"/>
  <c r="N131" i="15" s="1"/>
  <c r="K131" i="15"/>
  <c r="L131" i="15" s="1"/>
  <c r="M130" i="15"/>
  <c r="N130" i="15" s="1"/>
  <c r="K130" i="15"/>
  <c r="L130" i="15" s="1"/>
  <c r="K127" i="15"/>
  <c r="M127" i="15" s="1"/>
  <c r="N127" i="15" s="1"/>
  <c r="N126" i="15"/>
  <c r="K126" i="15"/>
  <c r="M126" i="15" s="1"/>
  <c r="L125" i="15"/>
  <c r="K125" i="15"/>
  <c r="M125" i="15" s="1"/>
  <c r="N125" i="15" s="1"/>
  <c r="K129" i="15"/>
  <c r="M129" i="15" s="1"/>
  <c r="N129" i="15" s="1"/>
  <c r="M124" i="15"/>
  <c r="N124" i="15" s="1"/>
  <c r="K124" i="15"/>
  <c r="L124" i="15" s="1"/>
  <c r="M123" i="15"/>
  <c r="N123" i="15" s="1"/>
  <c r="K123" i="15"/>
  <c r="L123" i="15" s="1"/>
  <c r="M122" i="15"/>
  <c r="N122" i="15" s="1"/>
  <c r="K122" i="15"/>
  <c r="L122" i="15" s="1"/>
  <c r="M121" i="15"/>
  <c r="N121" i="15" s="1"/>
  <c r="K121" i="15"/>
  <c r="L121" i="15" s="1"/>
  <c r="M120" i="15"/>
  <c r="N120" i="15" s="1"/>
  <c r="K120" i="15"/>
  <c r="L120" i="15" s="1"/>
  <c r="M119" i="15"/>
  <c r="N119" i="15" s="1"/>
  <c r="K119" i="15"/>
  <c r="L119" i="15" s="1"/>
  <c r="M118" i="15"/>
  <c r="N118" i="15" s="1"/>
  <c r="K118" i="15"/>
  <c r="L118" i="15" s="1"/>
  <c r="M117" i="15"/>
  <c r="N117" i="15" s="1"/>
  <c r="K117" i="15"/>
  <c r="L117" i="15" s="1"/>
  <c r="N115" i="15"/>
  <c r="K115" i="15"/>
  <c r="M115" i="15" s="1"/>
  <c r="M103" i="15"/>
  <c r="N103" i="15" s="1"/>
  <c r="K103" i="15"/>
  <c r="L103" i="15" s="1"/>
  <c r="M102" i="15"/>
  <c r="N102" i="15" s="1"/>
  <c r="K102" i="15"/>
  <c r="L102" i="15" s="1"/>
  <c r="M101" i="15"/>
  <c r="N101" i="15" s="1"/>
  <c r="K101" i="15"/>
  <c r="L101" i="15" s="1"/>
  <c r="N97" i="15"/>
  <c r="K97" i="15"/>
  <c r="M97" i="15" s="1"/>
  <c r="K98" i="15"/>
  <c r="M98" i="15" s="1"/>
  <c r="N98" i="15" s="1"/>
  <c r="M96" i="15"/>
  <c r="N96" i="15" s="1"/>
  <c r="K96" i="15"/>
  <c r="L96" i="15" s="1"/>
  <c r="M95" i="15"/>
  <c r="N95" i="15" s="1"/>
  <c r="K95" i="15"/>
  <c r="L95" i="15" s="1"/>
  <c r="N94" i="15"/>
  <c r="K94" i="15"/>
  <c r="M94" i="15" s="1"/>
  <c r="L93" i="15"/>
  <c r="K93" i="15"/>
  <c r="M93" i="15" s="1"/>
  <c r="N93" i="15" s="1"/>
  <c r="M92" i="15"/>
  <c r="N92" i="15" s="1"/>
  <c r="G92" i="15"/>
  <c r="K92" i="15" s="1"/>
  <c r="L92" i="15" s="1"/>
  <c r="M91" i="15"/>
  <c r="N91" i="15" s="1"/>
  <c r="G91" i="15"/>
  <c r="K91" i="15" s="1"/>
  <c r="L91" i="15" s="1"/>
  <c r="M90" i="15"/>
  <c r="N90" i="15" s="1"/>
  <c r="G90" i="15"/>
  <c r="K90" i="15" s="1"/>
  <c r="L90" i="15" s="1"/>
  <c r="N87" i="15"/>
  <c r="G89" i="15"/>
  <c r="K87" i="15" s="1"/>
  <c r="M87" i="15" s="1"/>
  <c r="L86" i="15"/>
  <c r="K86" i="15"/>
  <c r="G88" i="15"/>
  <c r="K88" i="15"/>
  <c r="G86" i="15"/>
  <c r="C86" i="15"/>
  <c r="M85" i="15"/>
  <c r="N85" i="15" s="1"/>
  <c r="K85" i="15"/>
  <c r="L85" i="15" s="1"/>
  <c r="M84" i="15"/>
  <c r="N84" i="15" s="1"/>
  <c r="K84" i="15"/>
  <c r="L84" i="15" s="1"/>
  <c r="M83" i="15"/>
  <c r="N83" i="15" s="1"/>
  <c r="K83" i="15"/>
  <c r="L83" i="15" s="1"/>
  <c r="N80" i="15"/>
  <c r="K80" i="15"/>
  <c r="L80" i="15" s="1"/>
  <c r="L79" i="15"/>
  <c r="K79" i="15"/>
  <c r="M79" i="15" s="1"/>
  <c r="N79" i="15" s="1"/>
  <c r="K81" i="15"/>
  <c r="M81" i="15" s="1"/>
  <c r="N81" i="15" s="1"/>
  <c r="K78" i="15"/>
  <c r="M78" i="15" s="1"/>
  <c r="N78" i="15" s="1"/>
  <c r="M77" i="15"/>
  <c r="N77" i="15" s="1"/>
  <c r="K77" i="15"/>
  <c r="L77" i="15" s="1"/>
  <c r="M76" i="15"/>
  <c r="N76" i="15" s="1"/>
  <c r="K76" i="15"/>
  <c r="L76" i="15" s="1"/>
  <c r="M75" i="15"/>
  <c r="N75" i="15" s="1"/>
  <c r="K75" i="15"/>
  <c r="L75" i="15" s="1"/>
  <c r="N72" i="15"/>
  <c r="K72" i="15"/>
  <c r="M72" i="15" s="1"/>
  <c r="L71" i="15"/>
  <c r="K71" i="15"/>
  <c r="M71" i="15" s="1"/>
  <c r="N71" i="15" s="1"/>
  <c r="L70" i="15"/>
  <c r="K70" i="15"/>
  <c r="M70" i="15" s="1"/>
  <c r="N70" i="15" s="1"/>
  <c r="M68" i="15"/>
  <c r="N68" i="15" s="1"/>
  <c r="K68" i="15"/>
  <c r="L68" i="15" s="1"/>
  <c r="K69" i="15"/>
  <c r="M69" i="15" s="1"/>
  <c r="N69" i="15" s="1"/>
  <c r="M67" i="15"/>
  <c r="N67" i="15" s="1"/>
  <c r="K67" i="15"/>
  <c r="L67" i="15" s="1"/>
  <c r="M66" i="15"/>
  <c r="N66" i="15" s="1"/>
  <c r="K66" i="15"/>
  <c r="L66" i="15" s="1"/>
  <c r="M65" i="15"/>
  <c r="N65" i="15" s="1"/>
  <c r="K65" i="15"/>
  <c r="L65" i="15" s="1"/>
  <c r="M64" i="15"/>
  <c r="N64" i="15" s="1"/>
  <c r="K64" i="15"/>
  <c r="L64" i="15" s="1"/>
  <c r="N62" i="15"/>
  <c r="K62" i="15"/>
  <c r="M62" i="15" s="1"/>
  <c r="L61" i="15"/>
  <c r="K61" i="15"/>
  <c r="M61" i="15" s="1"/>
  <c r="N61" i="15" s="1"/>
  <c r="M60" i="15"/>
  <c r="N60" i="15" s="1"/>
  <c r="K60" i="15"/>
  <c r="L60" i="15" s="1"/>
  <c r="M59" i="15"/>
  <c r="N59" i="15" s="1"/>
  <c r="K59" i="15"/>
  <c r="L59" i="15" s="1"/>
  <c r="M58" i="15"/>
  <c r="N58" i="15" s="1"/>
  <c r="K58" i="15"/>
  <c r="L58" i="15" s="1"/>
  <c r="M57" i="15"/>
  <c r="N57" i="15" s="1"/>
  <c r="K57" i="15"/>
  <c r="L57" i="15" s="1"/>
  <c r="K48" i="15"/>
  <c r="M48" i="15" s="1"/>
  <c r="N48" i="15" s="1"/>
  <c r="N52" i="15"/>
  <c r="K52" i="15"/>
  <c r="M52" i="15" s="1"/>
  <c r="L51" i="15"/>
  <c r="K51" i="15"/>
  <c r="M51" i="15" s="1"/>
  <c r="N51" i="15" s="1"/>
  <c r="L50" i="15"/>
  <c r="K50" i="15"/>
  <c r="M50" i="15" s="1"/>
  <c r="N50" i="15" s="1"/>
  <c r="M46" i="15"/>
  <c r="N46" i="15" s="1"/>
  <c r="K46" i="15"/>
  <c r="L46" i="15" s="1"/>
  <c r="K53" i="15"/>
  <c r="M53" i="15" s="1"/>
  <c r="N53" i="15" s="1"/>
  <c r="K49" i="15"/>
  <c r="L49" i="15" s="1"/>
  <c r="M45" i="15"/>
  <c r="N45" i="15" s="1"/>
  <c r="K45" i="15"/>
  <c r="L45" i="15" s="1"/>
  <c r="M44" i="15"/>
  <c r="N44" i="15" s="1"/>
  <c r="K44" i="15"/>
  <c r="L44" i="15" s="1"/>
  <c r="M43" i="15"/>
  <c r="N43" i="15" s="1"/>
  <c r="K43" i="15"/>
  <c r="L43" i="15" s="1"/>
  <c r="M42" i="15"/>
  <c r="N42" i="15" s="1"/>
  <c r="K42" i="15"/>
  <c r="L42" i="15" s="1"/>
  <c r="N39" i="15"/>
  <c r="K39" i="15"/>
  <c r="M39" i="15" s="1"/>
  <c r="L38" i="15"/>
  <c r="K38" i="15"/>
  <c r="M38" i="15" s="1"/>
  <c r="N38" i="15" s="1"/>
  <c r="K37" i="15"/>
  <c r="M37" i="15" s="1"/>
  <c r="N37" i="15" s="1"/>
  <c r="M36" i="15"/>
  <c r="N36" i="15" s="1"/>
  <c r="K36" i="15"/>
  <c r="L36" i="15" s="1"/>
  <c r="M35" i="15"/>
  <c r="N35" i="15" s="1"/>
  <c r="K35" i="15"/>
  <c r="L35" i="15" s="1"/>
  <c r="M34" i="15"/>
  <c r="N34" i="15" s="1"/>
  <c r="K34" i="15"/>
  <c r="L34" i="15" s="1"/>
  <c r="M33" i="15"/>
  <c r="N33" i="15" s="1"/>
  <c r="K33" i="15"/>
  <c r="L33" i="15" s="1"/>
  <c r="N31" i="15"/>
  <c r="K31" i="15"/>
  <c r="L31" i="15" s="1"/>
  <c r="L30" i="15"/>
  <c r="K30" i="15"/>
  <c r="M30" i="15" s="1"/>
  <c r="N30" i="15" s="1"/>
  <c r="M29" i="15"/>
  <c r="N29" i="15" s="1"/>
  <c r="K29" i="15"/>
  <c r="L29" i="15" s="1"/>
  <c r="M28" i="15"/>
  <c r="N28" i="15" s="1"/>
  <c r="K28" i="15"/>
  <c r="L28" i="15" s="1"/>
  <c r="M27" i="15"/>
  <c r="N27" i="15" s="1"/>
  <c r="K27" i="15"/>
  <c r="L27" i="15" s="1"/>
  <c r="M26" i="15"/>
  <c r="N26" i="15" s="1"/>
  <c r="K26" i="15"/>
  <c r="L26" i="15" s="1"/>
  <c r="N24" i="15"/>
  <c r="K24" i="15"/>
  <c r="M24" i="15" s="1"/>
  <c r="L23" i="15"/>
  <c r="K23" i="15"/>
  <c r="M23" i="15" s="1"/>
  <c r="N23" i="15" s="1"/>
  <c r="M22" i="15"/>
  <c r="N22" i="15" s="1"/>
  <c r="K22" i="15"/>
  <c r="L22" i="15" s="1"/>
  <c r="M21" i="15"/>
  <c r="N21" i="15" s="1"/>
  <c r="K21" i="15"/>
  <c r="L21" i="15" s="1"/>
  <c r="M20" i="15"/>
  <c r="N20" i="15" s="1"/>
  <c r="K20" i="15"/>
  <c r="L20" i="15" s="1"/>
  <c r="M19" i="15"/>
  <c r="N19" i="15" s="1"/>
  <c r="K19" i="15"/>
  <c r="L19" i="15" s="1"/>
  <c r="N17" i="15"/>
  <c r="K17" i="15"/>
  <c r="M17" i="15" s="1"/>
  <c r="L16" i="15"/>
  <c r="K16" i="15"/>
  <c r="M16" i="15" s="1"/>
  <c r="N16" i="15" s="1"/>
  <c r="L396" i="14"/>
  <c r="K396" i="14"/>
  <c r="J396" i="14"/>
  <c r="L395" i="14"/>
  <c r="K395" i="14"/>
  <c r="J395" i="14"/>
  <c r="L404" i="14"/>
  <c r="K404" i="14"/>
  <c r="J404" i="14"/>
  <c r="L403" i="14"/>
  <c r="K403" i="14"/>
  <c r="J403" i="14"/>
  <c r="L401" i="14"/>
  <c r="K401" i="14"/>
  <c r="J401" i="14"/>
  <c r="L400" i="14"/>
  <c r="K400" i="14"/>
  <c r="J400" i="14"/>
  <c r="L377" i="14"/>
  <c r="K377" i="14"/>
  <c r="J377" i="14"/>
  <c r="L376" i="14"/>
  <c r="K376" i="14"/>
  <c r="J376" i="14"/>
  <c r="L374" i="14"/>
  <c r="K374" i="14"/>
  <c r="J374" i="14"/>
  <c r="L369" i="14"/>
  <c r="K369" i="14"/>
  <c r="J369" i="14"/>
  <c r="L368" i="14"/>
  <c r="K368" i="14"/>
  <c r="J368" i="14"/>
  <c r="L367" i="14"/>
  <c r="K367" i="14"/>
  <c r="J367" i="14"/>
  <c r="L363" i="14"/>
  <c r="K363" i="14"/>
  <c r="J363" i="14"/>
  <c r="L354" i="14"/>
  <c r="K354" i="14"/>
  <c r="J354" i="14"/>
  <c r="L353" i="14"/>
  <c r="K353" i="14"/>
  <c r="J353" i="14"/>
  <c r="L355" i="14"/>
  <c r="K355" i="14"/>
  <c r="J355" i="14"/>
  <c r="L360" i="14"/>
  <c r="K360" i="14"/>
  <c r="J360" i="14"/>
  <c r="L359" i="14"/>
  <c r="K359" i="14"/>
  <c r="J359" i="14"/>
  <c r="L358" i="14"/>
  <c r="K358" i="14"/>
  <c r="J358" i="14"/>
  <c r="L357" i="14"/>
  <c r="K357" i="14"/>
  <c r="J357" i="14"/>
  <c r="L356" i="14"/>
  <c r="K356" i="14"/>
  <c r="J356" i="14"/>
  <c r="L362" i="14"/>
  <c r="K362" i="14"/>
  <c r="J362" i="14"/>
  <c r="L361" i="14"/>
  <c r="K361" i="14"/>
  <c r="J361" i="14"/>
  <c r="L352" i="14"/>
  <c r="K352" i="14"/>
  <c r="J352" i="14"/>
  <c r="L351" i="14"/>
  <c r="K351" i="14"/>
  <c r="J351" i="14"/>
  <c r="L350" i="14"/>
  <c r="K350" i="14"/>
  <c r="J350" i="14"/>
  <c r="L346" i="14"/>
  <c r="K346" i="14"/>
  <c r="J346" i="14"/>
  <c r="L335" i="14"/>
  <c r="K335" i="14"/>
  <c r="J335" i="14"/>
  <c r="L334" i="14"/>
  <c r="K334" i="14"/>
  <c r="J334" i="14"/>
  <c r="L337" i="14"/>
  <c r="K337" i="14"/>
  <c r="J337" i="14"/>
  <c r="L336" i="14"/>
  <c r="K336" i="14"/>
  <c r="J336" i="14"/>
  <c r="L333" i="14"/>
  <c r="K333" i="14"/>
  <c r="J333" i="14"/>
  <c r="L342" i="14"/>
  <c r="K342" i="14"/>
  <c r="J342" i="14"/>
  <c r="L341" i="14"/>
  <c r="K341" i="14"/>
  <c r="J341" i="14"/>
  <c r="L340" i="14"/>
  <c r="K340" i="14"/>
  <c r="J340" i="14"/>
  <c r="L339" i="14"/>
  <c r="K339" i="14"/>
  <c r="J339" i="14"/>
  <c r="L338" i="14"/>
  <c r="K338" i="14"/>
  <c r="J338" i="14"/>
  <c r="L345" i="14"/>
  <c r="K345" i="14"/>
  <c r="J345" i="14"/>
  <c r="L344" i="14"/>
  <c r="K344" i="14"/>
  <c r="J344" i="14"/>
  <c r="L332" i="14"/>
  <c r="K332" i="14"/>
  <c r="J332" i="14"/>
  <c r="L331" i="14"/>
  <c r="K331" i="14"/>
  <c r="J331" i="14"/>
  <c r="L330" i="14"/>
  <c r="K330" i="14"/>
  <c r="J330" i="14"/>
  <c r="L328" i="14"/>
  <c r="K328" i="14"/>
  <c r="J328" i="14"/>
  <c r="L318" i="14"/>
  <c r="K318" i="14"/>
  <c r="J318" i="14"/>
  <c r="L317" i="14"/>
  <c r="K317" i="14"/>
  <c r="J317" i="14"/>
  <c r="L320" i="14"/>
  <c r="K320" i="14"/>
  <c r="J320" i="14"/>
  <c r="L319" i="14"/>
  <c r="K319" i="14"/>
  <c r="J319" i="14"/>
  <c r="L325" i="14"/>
  <c r="K325" i="14"/>
  <c r="J325" i="14"/>
  <c r="L324" i="14"/>
  <c r="K324" i="14"/>
  <c r="J324" i="14"/>
  <c r="L323" i="14"/>
  <c r="K323" i="14"/>
  <c r="J323" i="14"/>
  <c r="L322" i="14"/>
  <c r="K322" i="14"/>
  <c r="J322" i="14"/>
  <c r="L321" i="14"/>
  <c r="K321" i="14"/>
  <c r="J321" i="14"/>
  <c r="L327" i="14"/>
  <c r="K327" i="14"/>
  <c r="J327" i="14"/>
  <c r="L326" i="14"/>
  <c r="K326" i="14"/>
  <c r="J326" i="14"/>
  <c r="L316" i="14"/>
  <c r="K316" i="14"/>
  <c r="J316" i="14"/>
  <c r="L315" i="14"/>
  <c r="K315" i="14"/>
  <c r="J315" i="14"/>
  <c r="L314" i="14"/>
  <c r="K314" i="14"/>
  <c r="J314" i="14"/>
  <c r="L312" i="14"/>
  <c r="K312" i="14"/>
  <c r="J312" i="14"/>
  <c r="L311" i="14"/>
  <c r="K311" i="14"/>
  <c r="J311" i="14"/>
  <c r="L302" i="14"/>
  <c r="K302" i="14"/>
  <c r="J302" i="14"/>
  <c r="L301" i="14"/>
  <c r="K301" i="14"/>
  <c r="J301" i="14"/>
  <c r="L303" i="14"/>
  <c r="K303" i="14"/>
  <c r="J303" i="14"/>
  <c r="L308" i="14"/>
  <c r="K308" i="14"/>
  <c r="J308" i="14"/>
  <c r="L307" i="14"/>
  <c r="K307" i="14"/>
  <c r="J307" i="14"/>
  <c r="L306" i="14"/>
  <c r="K306" i="14"/>
  <c r="J306" i="14"/>
  <c r="L305" i="14"/>
  <c r="K305" i="14"/>
  <c r="J305" i="14"/>
  <c r="L304" i="14"/>
  <c r="K304" i="14"/>
  <c r="J304" i="14"/>
  <c r="L310" i="14"/>
  <c r="K310" i="14"/>
  <c r="J310" i="14"/>
  <c r="L309" i="14"/>
  <c r="K309" i="14"/>
  <c r="J309" i="14"/>
  <c r="L299" i="14"/>
  <c r="K299" i="14"/>
  <c r="J299" i="14"/>
  <c r="L298" i="14"/>
  <c r="K298" i="14"/>
  <c r="J298" i="14"/>
  <c r="L297" i="14"/>
  <c r="K297" i="14"/>
  <c r="J297" i="14"/>
  <c r="L293" i="14"/>
  <c r="K293" i="14"/>
  <c r="J293" i="14"/>
  <c r="L296" i="14"/>
  <c r="K296" i="14"/>
  <c r="J296" i="14"/>
  <c r="L295" i="14"/>
  <c r="K295" i="14"/>
  <c r="J295" i="14"/>
  <c r="L294" i="14"/>
  <c r="K294" i="14"/>
  <c r="J294" i="14"/>
  <c r="L292" i="14"/>
  <c r="K292" i="14"/>
  <c r="J292" i="14"/>
  <c r="L291" i="14"/>
  <c r="K291" i="14"/>
  <c r="J291" i="14"/>
  <c r="L290" i="14"/>
  <c r="K290" i="14"/>
  <c r="J290" i="14"/>
  <c r="L288" i="14"/>
  <c r="K288" i="14"/>
  <c r="J288" i="14"/>
  <c r="L287" i="14"/>
  <c r="K287" i="14"/>
  <c r="J287" i="14"/>
  <c r="L286" i="14"/>
  <c r="K286" i="14"/>
  <c r="J286" i="14"/>
  <c r="L282" i="14"/>
  <c r="K282" i="14"/>
  <c r="J282" i="14"/>
  <c r="L277" i="14"/>
  <c r="K277" i="14"/>
  <c r="J277" i="14"/>
  <c r="L276" i="14"/>
  <c r="K276" i="14"/>
  <c r="J276" i="14"/>
  <c r="L281" i="14"/>
  <c r="K281" i="14"/>
  <c r="J281" i="14"/>
  <c r="L280" i="14"/>
  <c r="K280" i="14"/>
  <c r="J280" i="14"/>
  <c r="L279" i="14"/>
  <c r="K279" i="14"/>
  <c r="J279" i="14"/>
  <c r="L278" i="14"/>
  <c r="K278" i="14"/>
  <c r="J278" i="14"/>
  <c r="L284" i="14"/>
  <c r="K284" i="14"/>
  <c r="J284" i="14"/>
  <c r="L283" i="14"/>
  <c r="K283" i="14"/>
  <c r="J283" i="14"/>
  <c r="L274" i="14"/>
  <c r="K274" i="14"/>
  <c r="J274" i="14"/>
  <c r="L273" i="14"/>
  <c r="K273" i="14"/>
  <c r="J273" i="14"/>
  <c r="L270" i="14"/>
  <c r="K270" i="14"/>
  <c r="J270" i="14"/>
  <c r="L265" i="14"/>
  <c r="K265" i="14"/>
  <c r="J265" i="14"/>
  <c r="L264" i="14"/>
  <c r="K264" i="14"/>
  <c r="J264" i="14"/>
  <c r="L268" i="14"/>
  <c r="K268" i="14"/>
  <c r="J268" i="14"/>
  <c r="L267" i="14"/>
  <c r="K267" i="14"/>
  <c r="J267" i="14"/>
  <c r="L266" i="14"/>
  <c r="K266" i="14"/>
  <c r="J266" i="14"/>
  <c r="L269" i="14"/>
  <c r="K269" i="14"/>
  <c r="J269" i="14"/>
  <c r="L263" i="14"/>
  <c r="K263" i="14"/>
  <c r="J263" i="14"/>
  <c r="L262" i="14"/>
  <c r="K262" i="14"/>
  <c r="J262" i="14"/>
  <c r="L261" i="14"/>
  <c r="K261" i="14"/>
  <c r="J261" i="14"/>
  <c r="L255" i="14"/>
  <c r="K255" i="14"/>
  <c r="J255" i="14"/>
  <c r="L254" i="14"/>
  <c r="K254" i="14"/>
  <c r="J254" i="14"/>
  <c r="L253" i="14"/>
  <c r="K253" i="14"/>
  <c r="J253" i="14"/>
  <c r="L248" i="14"/>
  <c r="K248" i="14"/>
  <c r="J248" i="14"/>
  <c r="L247" i="14"/>
  <c r="K247" i="14"/>
  <c r="J247" i="14"/>
  <c r="L246" i="14"/>
  <c r="K246" i="14"/>
  <c r="J246" i="14"/>
  <c r="L245" i="14"/>
  <c r="K245" i="14"/>
  <c r="J245" i="14"/>
  <c r="L249" i="14"/>
  <c r="K249" i="14"/>
  <c r="J249" i="14"/>
  <c r="L243" i="14"/>
  <c r="K243" i="14"/>
  <c r="J243" i="14"/>
  <c r="L242" i="14"/>
  <c r="K242" i="14"/>
  <c r="J242" i="14"/>
  <c r="L241" i="14"/>
  <c r="K241" i="14"/>
  <c r="J241" i="14"/>
  <c r="L240" i="14"/>
  <c r="K240" i="14"/>
  <c r="J240" i="14"/>
  <c r="L238" i="14"/>
  <c r="K238" i="14"/>
  <c r="J238" i="14"/>
  <c r="L237" i="14"/>
  <c r="K237" i="14"/>
  <c r="J237" i="14"/>
  <c r="L236" i="14"/>
  <c r="K236" i="14"/>
  <c r="J236" i="14"/>
  <c r="L235" i="14"/>
  <c r="K235" i="14"/>
  <c r="J235" i="14"/>
  <c r="L230" i="14"/>
  <c r="K230" i="14"/>
  <c r="J230" i="14"/>
  <c r="L229" i="14"/>
  <c r="K229" i="14"/>
  <c r="J229" i="14"/>
  <c r="L228" i="14"/>
  <c r="K228" i="14"/>
  <c r="J228" i="14"/>
  <c r="L232" i="14"/>
  <c r="K232" i="14"/>
  <c r="J232" i="14"/>
  <c r="L231" i="14"/>
  <c r="K231" i="14"/>
  <c r="J231" i="14"/>
  <c r="L213" i="14"/>
  <c r="K213" i="14"/>
  <c r="J213" i="14"/>
  <c r="L212" i="14"/>
  <c r="K212" i="14"/>
  <c r="J212" i="14"/>
  <c r="L211" i="14"/>
  <c r="K211" i="14"/>
  <c r="J211" i="14"/>
  <c r="L210" i="14"/>
  <c r="K210" i="14"/>
  <c r="J210" i="14"/>
  <c r="L209" i="14"/>
  <c r="K209" i="14"/>
  <c r="J209" i="14"/>
  <c r="L208" i="14"/>
  <c r="K208" i="14"/>
  <c r="J208" i="14"/>
  <c r="L197" i="14"/>
  <c r="K197" i="14"/>
  <c r="J197" i="14"/>
  <c r="L196" i="14"/>
  <c r="K196" i="14"/>
  <c r="J196" i="14"/>
  <c r="L195" i="14"/>
  <c r="K195" i="14"/>
  <c r="J195" i="14"/>
  <c r="L193" i="14"/>
  <c r="K193" i="14"/>
  <c r="J193" i="14"/>
  <c r="L194" i="14"/>
  <c r="K194" i="14"/>
  <c r="J194" i="14"/>
  <c r="L192" i="14"/>
  <c r="K192" i="14"/>
  <c r="J192" i="14"/>
  <c r="L191" i="14"/>
  <c r="K191" i="14"/>
  <c r="J191" i="14"/>
  <c r="L183" i="14"/>
  <c r="K183" i="14"/>
  <c r="J183" i="14"/>
  <c r="L182" i="14"/>
  <c r="K182" i="14"/>
  <c r="J182" i="14"/>
  <c r="L181" i="14"/>
  <c r="K181" i="14"/>
  <c r="J181" i="14"/>
  <c r="L178" i="14"/>
  <c r="K178" i="14"/>
  <c r="J178" i="14"/>
  <c r="L176" i="14"/>
  <c r="K176" i="14"/>
  <c r="J176" i="14"/>
  <c r="L175" i="14"/>
  <c r="K175" i="14"/>
  <c r="J175" i="14"/>
  <c r="L174" i="14"/>
  <c r="K174" i="14"/>
  <c r="J174" i="14"/>
  <c r="L180" i="14"/>
  <c r="K180" i="14"/>
  <c r="J180" i="14"/>
  <c r="L177" i="14"/>
  <c r="K177" i="14"/>
  <c r="J177" i="14"/>
  <c r="L173" i="14"/>
  <c r="K173" i="14"/>
  <c r="J173" i="14"/>
  <c r="L172" i="14"/>
  <c r="K172" i="14"/>
  <c r="J172" i="14"/>
  <c r="L171" i="14"/>
  <c r="K171" i="14"/>
  <c r="J171" i="14"/>
  <c r="L169" i="14"/>
  <c r="K169" i="14"/>
  <c r="J169" i="14"/>
  <c r="L168" i="14"/>
  <c r="K168" i="14"/>
  <c r="J168" i="14"/>
  <c r="L167" i="14"/>
  <c r="K167" i="14"/>
  <c r="J167" i="14"/>
  <c r="L166" i="14"/>
  <c r="K166" i="14"/>
  <c r="J166" i="14"/>
  <c r="L165" i="14"/>
  <c r="K165" i="14"/>
  <c r="J165" i="14"/>
  <c r="L163" i="14"/>
  <c r="K163" i="14"/>
  <c r="J163" i="14"/>
  <c r="L162" i="14"/>
  <c r="K162" i="14"/>
  <c r="J162" i="14"/>
  <c r="L154" i="14"/>
  <c r="K154" i="14"/>
  <c r="J154" i="14"/>
  <c r="L153" i="14"/>
  <c r="K153" i="14"/>
  <c r="J153" i="14"/>
  <c r="L152" i="14"/>
  <c r="K152" i="14"/>
  <c r="J152" i="14"/>
  <c r="L150" i="14"/>
  <c r="K150" i="14"/>
  <c r="J150" i="14"/>
  <c r="L149" i="14"/>
  <c r="K149" i="14"/>
  <c r="J149" i="14"/>
  <c r="L148" i="14"/>
  <c r="K148" i="14"/>
  <c r="J148" i="14"/>
  <c r="L147" i="14"/>
  <c r="K147" i="14"/>
  <c r="J147" i="14"/>
  <c r="L146" i="14"/>
  <c r="K146" i="14"/>
  <c r="J146" i="14"/>
  <c r="L145" i="14"/>
  <c r="K145" i="14"/>
  <c r="J145" i="14"/>
  <c r="L144" i="14"/>
  <c r="K144" i="14"/>
  <c r="J144" i="14"/>
  <c r="L143" i="14"/>
  <c r="K143" i="14"/>
  <c r="J143" i="14"/>
  <c r="L142" i="14"/>
  <c r="K142" i="14"/>
  <c r="J142" i="14"/>
  <c r="L137" i="14"/>
  <c r="K137" i="14"/>
  <c r="J137" i="14"/>
  <c r="L136" i="14"/>
  <c r="K136" i="14"/>
  <c r="J136" i="14"/>
  <c r="L135" i="14"/>
  <c r="K135" i="14"/>
  <c r="J135" i="14"/>
  <c r="L140" i="14"/>
  <c r="K140" i="14"/>
  <c r="J140" i="14"/>
  <c r="L139" i="14"/>
  <c r="K139" i="14"/>
  <c r="J139" i="14"/>
  <c r="L138" i="14"/>
  <c r="K138" i="14"/>
  <c r="J138" i="14"/>
  <c r="C135" i="14"/>
  <c r="L134" i="14"/>
  <c r="K134" i="14"/>
  <c r="J134" i="14"/>
  <c r="L133" i="14"/>
  <c r="K133" i="14"/>
  <c r="J133" i="14"/>
  <c r="L132" i="14"/>
  <c r="K132" i="14"/>
  <c r="J132" i="14"/>
  <c r="L126" i="14"/>
  <c r="K126" i="14"/>
  <c r="J126" i="14"/>
  <c r="L125" i="14"/>
  <c r="K125" i="14"/>
  <c r="J125" i="14"/>
  <c r="L124" i="14"/>
  <c r="K124" i="14"/>
  <c r="J124" i="14"/>
  <c r="L123" i="14"/>
  <c r="K123" i="14"/>
  <c r="J123" i="14"/>
  <c r="L122" i="14"/>
  <c r="K122" i="14"/>
  <c r="J122" i="14"/>
  <c r="L121" i="14"/>
  <c r="K121" i="14"/>
  <c r="J121" i="14"/>
  <c r="L120" i="14"/>
  <c r="K120" i="14"/>
  <c r="J120" i="14"/>
  <c r="L119" i="14"/>
  <c r="K119" i="14"/>
  <c r="J119" i="14"/>
  <c r="L128" i="14"/>
  <c r="K128" i="14"/>
  <c r="J128" i="14"/>
  <c r="L127" i="14"/>
  <c r="K127" i="14"/>
  <c r="J127" i="14"/>
  <c r="L118" i="14"/>
  <c r="K118" i="14"/>
  <c r="J118" i="14"/>
  <c r="L117" i="14"/>
  <c r="K117" i="14"/>
  <c r="J117" i="14"/>
  <c r="L116" i="14"/>
  <c r="K116" i="14"/>
  <c r="J116" i="14"/>
  <c r="L110" i="14"/>
  <c r="K110" i="14"/>
  <c r="J110" i="14"/>
  <c r="L109" i="14"/>
  <c r="K109" i="14"/>
  <c r="J109" i="14"/>
  <c r="L108" i="14"/>
  <c r="K108" i="14"/>
  <c r="J108" i="14"/>
  <c r="L107" i="14"/>
  <c r="K107" i="14"/>
  <c r="J107" i="14"/>
  <c r="L106" i="14"/>
  <c r="K106" i="14"/>
  <c r="J106" i="14"/>
  <c r="L105" i="14"/>
  <c r="K105" i="14"/>
  <c r="J105" i="14"/>
  <c r="L104" i="14"/>
  <c r="K104" i="14"/>
  <c r="J104" i="14"/>
  <c r="L103" i="14"/>
  <c r="K103" i="14"/>
  <c r="J103" i="14"/>
  <c r="L102" i="14"/>
  <c r="K102" i="14"/>
  <c r="J102" i="14"/>
  <c r="L112" i="14"/>
  <c r="K112" i="14"/>
  <c r="J112" i="14"/>
  <c r="L111" i="14"/>
  <c r="K111" i="14"/>
  <c r="J111" i="14"/>
  <c r="L101" i="14"/>
  <c r="K101" i="14"/>
  <c r="J101" i="14"/>
  <c r="L100" i="14"/>
  <c r="K100" i="14"/>
  <c r="J100" i="14"/>
  <c r="L99" i="14"/>
  <c r="K99" i="14"/>
  <c r="J99" i="14"/>
  <c r="L93" i="14"/>
  <c r="K93" i="14"/>
  <c r="J93" i="14"/>
  <c r="L92" i="14"/>
  <c r="K92" i="14"/>
  <c r="J92" i="14"/>
  <c r="L91" i="14"/>
  <c r="K91" i="14"/>
  <c r="J91" i="14"/>
  <c r="L90" i="14"/>
  <c r="K90" i="14"/>
  <c r="J90" i="14"/>
  <c r="L89" i="14"/>
  <c r="K89" i="14"/>
  <c r="J89" i="14"/>
  <c r="L88" i="14"/>
  <c r="K88" i="14"/>
  <c r="J88" i="14"/>
  <c r="L87" i="14"/>
  <c r="K87" i="14"/>
  <c r="J87" i="14"/>
  <c r="L86" i="14"/>
  <c r="K86" i="14"/>
  <c r="J86" i="14"/>
  <c r="L95" i="14"/>
  <c r="K95" i="14"/>
  <c r="J95" i="14"/>
  <c r="L94" i="14"/>
  <c r="K94" i="14"/>
  <c r="J94" i="14"/>
  <c r="L85" i="14"/>
  <c r="K85" i="14"/>
  <c r="J85" i="14"/>
  <c r="L84" i="14"/>
  <c r="K84" i="14"/>
  <c r="J84" i="14"/>
  <c r="L83" i="14"/>
  <c r="K83" i="14"/>
  <c r="J83" i="14"/>
  <c r="L75" i="14"/>
  <c r="K75" i="14"/>
  <c r="J75" i="14"/>
  <c r="L74" i="14"/>
  <c r="K74" i="14"/>
  <c r="J74" i="14"/>
  <c r="L69" i="14"/>
  <c r="K69" i="14"/>
  <c r="J69" i="14"/>
  <c r="L68" i="14"/>
  <c r="K68" i="14"/>
  <c r="J68" i="14"/>
  <c r="L67" i="14"/>
  <c r="K67" i="14"/>
  <c r="J67" i="14"/>
  <c r="L76" i="14"/>
  <c r="K76" i="14"/>
  <c r="J76" i="14"/>
  <c r="L79" i="14"/>
  <c r="K79" i="14"/>
  <c r="J79" i="14"/>
  <c r="L66" i="14"/>
  <c r="K66" i="14"/>
  <c r="J66" i="14"/>
  <c r="L73" i="14"/>
  <c r="K73" i="14"/>
  <c r="J73" i="14"/>
  <c r="L72" i="14"/>
  <c r="K72" i="14"/>
  <c r="J72" i="14"/>
  <c r="L71" i="14"/>
  <c r="K71" i="14"/>
  <c r="J71" i="14"/>
  <c r="L70" i="14"/>
  <c r="K70" i="14"/>
  <c r="J70" i="14"/>
  <c r="L78" i="14"/>
  <c r="K78" i="14"/>
  <c r="J78" i="14"/>
  <c r="L77" i="14"/>
  <c r="K77" i="14"/>
  <c r="J77" i="14"/>
  <c r="L64" i="14"/>
  <c r="K64" i="14"/>
  <c r="J64" i="14"/>
  <c r="L63" i="14"/>
  <c r="K63" i="14"/>
  <c r="J63" i="14"/>
  <c r="L62" i="14"/>
  <c r="K62" i="14"/>
  <c r="J62" i="14"/>
  <c r="L54" i="14"/>
  <c r="K54" i="14"/>
  <c r="J54" i="14"/>
  <c r="L53" i="14"/>
  <c r="K53" i="14"/>
  <c r="J53" i="14"/>
  <c r="L52" i="14"/>
  <c r="K52" i="14"/>
  <c r="J52" i="14"/>
  <c r="L55" i="14"/>
  <c r="K55" i="14"/>
  <c r="J55" i="14"/>
  <c r="L58" i="14"/>
  <c r="K58" i="14"/>
  <c r="J58" i="14"/>
  <c r="L57" i="14"/>
  <c r="K57" i="14"/>
  <c r="J57" i="14"/>
  <c r="L56" i="14"/>
  <c r="K56" i="14"/>
  <c r="J56" i="14"/>
  <c r="L49" i="14"/>
  <c r="K49" i="14"/>
  <c r="J49" i="14"/>
  <c r="L48" i="14"/>
  <c r="K48" i="14"/>
  <c r="J48" i="14"/>
  <c r="L47" i="14"/>
  <c r="K47" i="14"/>
  <c r="J47" i="14"/>
  <c r="L37" i="14"/>
  <c r="K37" i="14"/>
  <c r="J37" i="14"/>
  <c r="L36" i="14"/>
  <c r="K36" i="14"/>
  <c r="J36" i="14"/>
  <c r="L35" i="14"/>
  <c r="K35" i="14"/>
  <c r="J35" i="14"/>
  <c r="L38" i="14"/>
  <c r="K38" i="14"/>
  <c r="J38" i="14"/>
  <c r="L40" i="14"/>
  <c r="K40" i="14"/>
  <c r="J40" i="14"/>
  <c r="L39" i="14"/>
  <c r="K39" i="14"/>
  <c r="J39" i="14"/>
  <c r="L34" i="14"/>
  <c r="K34" i="14"/>
  <c r="J34" i="14"/>
  <c r="L33" i="14"/>
  <c r="K33" i="14"/>
  <c r="J33" i="14"/>
  <c r="L32" i="14"/>
  <c r="K32" i="14"/>
  <c r="J32" i="14"/>
  <c r="L28" i="14"/>
  <c r="K28" i="14"/>
  <c r="J28" i="14"/>
  <c r="G30" i="14"/>
  <c r="L30" i="14" s="1"/>
  <c r="L29" i="14"/>
  <c r="K29" i="14"/>
  <c r="J29" i="14"/>
  <c r="L26" i="14"/>
  <c r="K26" i="14"/>
  <c r="J26" i="14"/>
  <c r="L25" i="14"/>
  <c r="K25" i="14"/>
  <c r="J25" i="14"/>
  <c r="L24" i="14"/>
  <c r="K24" i="14"/>
  <c r="J24" i="14"/>
  <c r="L19" i="14"/>
  <c r="K19" i="14"/>
  <c r="J19" i="14"/>
  <c r="L18" i="14"/>
  <c r="K18" i="14"/>
  <c r="J18" i="14"/>
  <c r="L17" i="14"/>
  <c r="K17" i="14"/>
  <c r="J17" i="14"/>
  <c r="L22" i="14"/>
  <c r="K22" i="14"/>
  <c r="J22" i="14"/>
  <c r="L21" i="14"/>
  <c r="K21" i="14"/>
  <c r="J21" i="14"/>
  <c r="L20" i="14"/>
  <c r="K20" i="14"/>
  <c r="J20" i="14"/>
  <c r="L127" i="15" l="1"/>
  <c r="M166" i="15"/>
  <c r="L181" i="15"/>
  <c r="L189" i="15"/>
  <c r="M249" i="15"/>
  <c r="M141" i="15"/>
  <c r="N141" i="15" s="1"/>
  <c r="M331" i="15"/>
  <c r="M211" i="15"/>
  <c r="L279" i="15"/>
  <c r="M31" i="15"/>
  <c r="L48" i="15"/>
  <c r="L285" i="15"/>
  <c r="L290" i="15"/>
  <c r="L98" i="15"/>
  <c r="L126" i="15"/>
  <c r="M224" i="15"/>
  <c r="L97" i="15"/>
  <c r="L276" i="15"/>
  <c r="L287" i="15"/>
  <c r="L299" i="15"/>
  <c r="M88" i="15"/>
  <c r="N88" i="15" s="1"/>
  <c r="L235" i="15"/>
  <c r="L240" i="15"/>
  <c r="L270" i="15"/>
  <c r="L308" i="15"/>
  <c r="L62" i="15"/>
  <c r="M80" i="15"/>
  <c r="L24" i="15"/>
  <c r="L37" i="15"/>
  <c r="L53" i="15"/>
  <c r="L69" i="15"/>
  <c r="L78" i="15"/>
  <c r="M86" i="15"/>
  <c r="N86" i="15" s="1"/>
  <c r="L52" i="15"/>
  <c r="L72" i="15"/>
  <c r="L87" i="15"/>
  <c r="M49" i="15"/>
  <c r="N49" i="15" s="1"/>
  <c r="L26" i="16"/>
  <c r="L63" i="16"/>
  <c r="L39" i="15"/>
  <c r="L129" i="15"/>
  <c r="L246" i="15"/>
  <c r="L330" i="15"/>
  <c r="L17" i="15"/>
  <c r="L167" i="15"/>
  <c r="L184" i="15"/>
  <c r="L218" i="15"/>
  <c r="L81" i="15"/>
  <c r="L88" i="15"/>
  <c r="L94" i="15"/>
  <c r="L115" i="15"/>
  <c r="L140" i="15"/>
  <c r="L152" i="15"/>
  <c r="L267" i="15"/>
  <c r="L286" i="15"/>
  <c r="L296" i="15"/>
  <c r="J30" i="14"/>
  <c r="K30" i="14"/>
  <c r="I286" i="13" l="1"/>
  <c r="K286" i="13" s="1"/>
  <c r="L286" i="13" s="1"/>
  <c r="I285" i="13"/>
  <c r="K285" i="13" s="1"/>
  <c r="L285" i="13" s="1"/>
  <c r="L290" i="13"/>
  <c r="K290" i="13"/>
  <c r="G290" i="13" s="1"/>
  <c r="H290" i="13" s="1"/>
  <c r="L289" i="13"/>
  <c r="K289" i="13"/>
  <c r="G289" i="13" s="1"/>
  <c r="H289" i="13" s="1"/>
  <c r="I291" i="13"/>
  <c r="K291" i="13" s="1"/>
  <c r="L291" i="13" s="1"/>
  <c r="I278" i="13"/>
  <c r="J278" i="13" s="1"/>
  <c r="I277" i="13"/>
  <c r="G277" i="13" s="1"/>
  <c r="H277" i="13" s="1"/>
  <c r="L276" i="13"/>
  <c r="K276" i="13"/>
  <c r="I276" i="13" s="1"/>
  <c r="J276" i="13" s="1"/>
  <c r="I279" i="13"/>
  <c r="K279" i="13" s="1"/>
  <c r="L279" i="13" s="1"/>
  <c r="I273" i="13"/>
  <c r="K273" i="13" s="1"/>
  <c r="L273" i="13" s="1"/>
  <c r="I269" i="13"/>
  <c r="J269" i="13" s="1"/>
  <c r="G269" i="13"/>
  <c r="H269" i="13" s="1"/>
  <c r="L268" i="13"/>
  <c r="K268" i="13"/>
  <c r="G268" i="13" s="1"/>
  <c r="H268" i="13" s="1"/>
  <c r="L267" i="13"/>
  <c r="K267" i="13"/>
  <c r="I267" i="13" s="1"/>
  <c r="J267" i="13" s="1"/>
  <c r="L266" i="13"/>
  <c r="K266" i="13"/>
  <c r="I266" i="13" s="1"/>
  <c r="J266" i="13" s="1"/>
  <c r="L265" i="13"/>
  <c r="K265" i="13"/>
  <c r="L263" i="13"/>
  <c r="K263" i="13"/>
  <c r="G263" i="13" s="1"/>
  <c r="H263" i="13" s="1"/>
  <c r="L262" i="13"/>
  <c r="K262" i="13"/>
  <c r="I262" i="13" s="1"/>
  <c r="J262" i="13" s="1"/>
  <c r="I270" i="13"/>
  <c r="K270" i="13" s="1"/>
  <c r="L270" i="13" s="1"/>
  <c r="G270" i="13"/>
  <c r="H270" i="13" s="1"/>
  <c r="L264" i="13"/>
  <c r="K264" i="13"/>
  <c r="L271" i="13"/>
  <c r="K271" i="13"/>
  <c r="G271" i="13" s="1"/>
  <c r="H271" i="13" s="1"/>
  <c r="I259" i="13"/>
  <c r="K259" i="13" s="1"/>
  <c r="L259" i="13" s="1"/>
  <c r="I261" i="13"/>
  <c r="K261" i="13" s="1"/>
  <c r="L261" i="13" s="1"/>
  <c r="I256" i="13"/>
  <c r="K256" i="13" s="1"/>
  <c r="L256" i="13" s="1"/>
  <c r="G256" i="13"/>
  <c r="H256" i="13" s="1"/>
  <c r="L255" i="13"/>
  <c r="K255" i="13"/>
  <c r="L254" i="13"/>
  <c r="K254" i="13"/>
  <c r="G254" i="13" s="1"/>
  <c r="H254" i="13" s="1"/>
  <c r="L253" i="13"/>
  <c r="K253" i="13"/>
  <c r="I253" i="13" s="1"/>
  <c r="J253" i="13" s="1"/>
  <c r="L252" i="13"/>
  <c r="K252" i="13"/>
  <c r="I252" i="13" s="1"/>
  <c r="J252" i="13" s="1"/>
  <c r="L249" i="13"/>
  <c r="K249" i="13"/>
  <c r="L248" i="13"/>
  <c r="K248" i="13"/>
  <c r="G248" i="13" s="1"/>
  <c r="H248" i="13" s="1"/>
  <c r="I257" i="13"/>
  <c r="K257" i="13" s="1"/>
  <c r="L257" i="13" s="1"/>
  <c r="G257" i="13"/>
  <c r="H257" i="13" s="1"/>
  <c r="I246" i="13"/>
  <c r="J246" i="13" s="1"/>
  <c r="G246" i="13"/>
  <c r="H246" i="13" s="1"/>
  <c r="L245" i="13"/>
  <c r="K245" i="13"/>
  <c r="G245" i="13" s="1"/>
  <c r="H245" i="13" s="1"/>
  <c r="L258" i="13"/>
  <c r="K258" i="13"/>
  <c r="I258" i="13" s="1"/>
  <c r="J258" i="13" s="1"/>
  <c r="L247" i="13"/>
  <c r="K247" i="13"/>
  <c r="I247" i="13" s="1"/>
  <c r="J247" i="13" s="1"/>
  <c r="L251" i="13"/>
  <c r="K251" i="13"/>
  <c r="L250" i="13"/>
  <c r="K250" i="13"/>
  <c r="G250" i="13" s="1"/>
  <c r="H250" i="13" s="1"/>
  <c r="I244" i="13"/>
  <c r="I240" i="13"/>
  <c r="K240" i="13" s="1"/>
  <c r="L240" i="13" s="1"/>
  <c r="G240" i="13"/>
  <c r="H240" i="13" s="1"/>
  <c r="L239" i="13"/>
  <c r="K239" i="13"/>
  <c r="I239" i="13" s="1"/>
  <c r="J239" i="13" s="1"/>
  <c r="L238" i="13"/>
  <c r="K238" i="13"/>
  <c r="L237" i="13"/>
  <c r="K237" i="13"/>
  <c r="G237" i="13" s="1"/>
  <c r="H237" i="13" s="1"/>
  <c r="L236" i="13"/>
  <c r="K236" i="13"/>
  <c r="I236" i="13" s="1"/>
  <c r="J236" i="13" s="1"/>
  <c r="L233" i="13"/>
  <c r="K233" i="13"/>
  <c r="I233" i="13" s="1"/>
  <c r="J233" i="13" s="1"/>
  <c r="L232" i="13"/>
  <c r="K232" i="13"/>
  <c r="I241" i="13"/>
  <c r="G241" i="13"/>
  <c r="H241" i="13" s="1"/>
  <c r="I229" i="13"/>
  <c r="K229" i="13" s="1"/>
  <c r="L229" i="13" s="1"/>
  <c r="G229" i="13"/>
  <c r="H229" i="13" s="1"/>
  <c r="L242" i="13"/>
  <c r="K242" i="13"/>
  <c r="I242" i="13" s="1"/>
  <c r="J242" i="13" s="1"/>
  <c r="D231" i="13"/>
  <c r="K231" i="13" s="1"/>
  <c r="L230" i="13"/>
  <c r="K230" i="13"/>
  <c r="G230" i="13" s="1"/>
  <c r="H230" i="13" s="1"/>
  <c r="L235" i="13"/>
  <c r="K235" i="13"/>
  <c r="G235" i="13" s="1"/>
  <c r="H235" i="13" s="1"/>
  <c r="L234" i="13"/>
  <c r="K234" i="13"/>
  <c r="G234" i="13" s="1"/>
  <c r="H234" i="13" s="1"/>
  <c r="I228" i="13"/>
  <c r="K228" i="13" s="1"/>
  <c r="L228" i="13" s="1"/>
  <c r="I225" i="13"/>
  <c r="K225" i="13" s="1"/>
  <c r="L225" i="13" s="1"/>
  <c r="G225" i="13"/>
  <c r="H225" i="13" s="1"/>
  <c r="L224" i="13"/>
  <c r="K224" i="13"/>
  <c r="G224" i="13" s="1"/>
  <c r="H224" i="13" s="1"/>
  <c r="L223" i="13"/>
  <c r="K223" i="13"/>
  <c r="G223" i="13" s="1"/>
  <c r="H223" i="13" s="1"/>
  <c r="L222" i="13"/>
  <c r="K222" i="13"/>
  <c r="I222" i="13" s="1"/>
  <c r="J222" i="13" s="1"/>
  <c r="L221" i="13"/>
  <c r="K221" i="13"/>
  <c r="I221" i="13" s="1"/>
  <c r="J221" i="13" s="1"/>
  <c r="L216" i="13"/>
  <c r="K216" i="13"/>
  <c r="G216" i="13" s="1"/>
  <c r="H216" i="13" s="1"/>
  <c r="L215" i="13"/>
  <c r="K215" i="13"/>
  <c r="G215" i="13" s="1"/>
  <c r="H215" i="13" s="1"/>
  <c r="I214" i="13"/>
  <c r="K214" i="13" s="1"/>
  <c r="L214" i="13" s="1"/>
  <c r="G214" i="13"/>
  <c r="H214" i="13" s="1"/>
  <c r="L226" i="13"/>
  <c r="K226" i="13"/>
  <c r="I226" i="13" s="1"/>
  <c r="J226" i="13" s="1"/>
  <c r="L218" i="13"/>
  <c r="K218" i="13"/>
  <c r="G218" i="13" s="1"/>
  <c r="H218" i="13" s="1"/>
  <c r="L217" i="13"/>
  <c r="K217" i="13"/>
  <c r="G217" i="13" s="1"/>
  <c r="H217" i="13" s="1"/>
  <c r="L220" i="13"/>
  <c r="K220" i="13"/>
  <c r="I220" i="13" s="1"/>
  <c r="J220" i="13" s="1"/>
  <c r="L219" i="13"/>
  <c r="K219" i="13"/>
  <c r="I219" i="13" s="1"/>
  <c r="J219" i="13" s="1"/>
  <c r="I212" i="13"/>
  <c r="G212" i="13" s="1"/>
  <c r="H212" i="13" s="1"/>
  <c r="I210" i="13"/>
  <c r="J210" i="13" s="1"/>
  <c r="I211" i="13"/>
  <c r="K211" i="13" s="1"/>
  <c r="L211" i="13" s="1"/>
  <c r="I209" i="13"/>
  <c r="J209" i="13" s="1"/>
  <c r="I206" i="13"/>
  <c r="G206" i="13" s="1"/>
  <c r="H206" i="13" s="1"/>
  <c r="L203" i="13"/>
  <c r="K203" i="13"/>
  <c r="G203" i="13" s="1"/>
  <c r="H203" i="13" s="1"/>
  <c r="I207" i="13"/>
  <c r="K207" i="13" s="1"/>
  <c r="L207" i="13" s="1"/>
  <c r="L202" i="13"/>
  <c r="K202" i="13"/>
  <c r="I202" i="13" s="1"/>
  <c r="J202" i="13" s="1"/>
  <c r="L201" i="13"/>
  <c r="K201" i="13"/>
  <c r="G201" i="13" s="1"/>
  <c r="H201" i="13" s="1"/>
  <c r="L200" i="13"/>
  <c r="K200" i="13"/>
  <c r="G200" i="13" s="1"/>
  <c r="H200" i="13" s="1"/>
  <c r="L199" i="13"/>
  <c r="K199" i="13"/>
  <c r="I199" i="13" s="1"/>
  <c r="J199" i="13" s="1"/>
  <c r="L198" i="13"/>
  <c r="K198" i="13"/>
  <c r="I198" i="13" s="1"/>
  <c r="J198" i="13" s="1"/>
  <c r="L197" i="13"/>
  <c r="K197" i="13"/>
  <c r="G197" i="13" s="1"/>
  <c r="H197" i="13" s="1"/>
  <c r="I204" i="13"/>
  <c r="K204" i="13" s="1"/>
  <c r="L204" i="13" s="1"/>
  <c r="G204" i="13"/>
  <c r="H204" i="13" s="1"/>
  <c r="L205" i="13"/>
  <c r="K205" i="13"/>
  <c r="I205" i="13" s="1"/>
  <c r="J205" i="13" s="1"/>
  <c r="I188" i="13"/>
  <c r="K188" i="13" s="1"/>
  <c r="L188" i="13" s="1"/>
  <c r="L193" i="13"/>
  <c r="K193" i="13"/>
  <c r="G193" i="13" s="1"/>
  <c r="H193" i="13" s="1"/>
  <c r="I196" i="13"/>
  <c r="G196" i="13" s="1"/>
  <c r="H196" i="13" s="1"/>
  <c r="L192" i="13"/>
  <c r="K192" i="13"/>
  <c r="I192" i="13" s="1"/>
  <c r="J192" i="13" s="1"/>
  <c r="L191" i="13"/>
  <c r="K191" i="13"/>
  <c r="I191" i="13" s="1"/>
  <c r="J191" i="13" s="1"/>
  <c r="L190" i="13"/>
  <c r="K190" i="13"/>
  <c r="G190" i="13" s="1"/>
  <c r="H190" i="13" s="1"/>
  <c r="L189" i="13"/>
  <c r="K189" i="13"/>
  <c r="G189" i="13" s="1"/>
  <c r="H189" i="13" s="1"/>
  <c r="L187" i="13"/>
  <c r="K187" i="13"/>
  <c r="I187" i="13" s="1"/>
  <c r="J187" i="13" s="1"/>
  <c r="L186" i="13"/>
  <c r="K186" i="13"/>
  <c r="I186" i="13" s="1"/>
  <c r="J186" i="13" s="1"/>
  <c r="I194" i="13"/>
  <c r="K194" i="13" s="1"/>
  <c r="L194" i="13" s="1"/>
  <c r="G194" i="13"/>
  <c r="H194" i="13" s="1"/>
  <c r="L195" i="13"/>
  <c r="K195" i="13"/>
  <c r="G195" i="13" s="1"/>
  <c r="H195" i="13" s="1"/>
  <c r="L184" i="13"/>
  <c r="K184" i="13"/>
  <c r="G184" i="13" s="1"/>
  <c r="H184" i="13" s="1"/>
  <c r="L174" i="13"/>
  <c r="K174" i="13"/>
  <c r="I174" i="13" s="1"/>
  <c r="J174" i="13" s="1"/>
  <c r="I178" i="13"/>
  <c r="G178" i="13" s="1"/>
  <c r="H178" i="13" s="1"/>
  <c r="L173" i="13"/>
  <c r="K173" i="13"/>
  <c r="G173" i="13" s="1"/>
  <c r="H173" i="13" s="1"/>
  <c r="L172" i="13"/>
  <c r="K172" i="13"/>
  <c r="I172" i="13" s="1"/>
  <c r="J172" i="13" s="1"/>
  <c r="L171" i="13"/>
  <c r="K171" i="13"/>
  <c r="I171" i="13" s="1"/>
  <c r="J171" i="13" s="1"/>
  <c r="L170" i="13"/>
  <c r="K170" i="13"/>
  <c r="G170" i="13" s="1"/>
  <c r="H170" i="13" s="1"/>
  <c r="L169" i="13"/>
  <c r="K169" i="13"/>
  <c r="G169" i="13" s="1"/>
  <c r="H169" i="13" s="1"/>
  <c r="L168" i="13"/>
  <c r="K168" i="13"/>
  <c r="I168" i="13" s="1"/>
  <c r="J168" i="13" s="1"/>
  <c r="I175" i="13"/>
  <c r="K175" i="13" s="1"/>
  <c r="L175" i="13" s="1"/>
  <c r="G175" i="13"/>
  <c r="H175" i="13" s="1"/>
  <c r="L176" i="13"/>
  <c r="K176" i="13"/>
  <c r="G176" i="13" s="1"/>
  <c r="H176" i="13" s="1"/>
  <c r="L163" i="13"/>
  <c r="K163" i="13"/>
  <c r="G163" i="13" s="1"/>
  <c r="H163" i="13" s="1"/>
  <c r="I167" i="13"/>
  <c r="K167" i="13" s="1"/>
  <c r="L167" i="13" s="1"/>
  <c r="L162" i="13"/>
  <c r="K162" i="13"/>
  <c r="I162" i="13" s="1"/>
  <c r="J162" i="13" s="1"/>
  <c r="L161" i="13"/>
  <c r="K161" i="13"/>
  <c r="G161" i="13" s="1"/>
  <c r="H161" i="13" s="1"/>
  <c r="L160" i="13"/>
  <c r="K160" i="13"/>
  <c r="G160" i="13" s="1"/>
  <c r="H160" i="13" s="1"/>
  <c r="L159" i="13"/>
  <c r="K159" i="13"/>
  <c r="G159" i="13" s="1"/>
  <c r="H159" i="13" s="1"/>
  <c r="I164" i="13"/>
  <c r="K164" i="13" s="1"/>
  <c r="L164" i="13" s="1"/>
  <c r="G164" i="13"/>
  <c r="H164" i="13" s="1"/>
  <c r="L165" i="13"/>
  <c r="K165" i="13"/>
  <c r="G165" i="13" s="1"/>
  <c r="H165" i="13" s="1"/>
  <c r="L156" i="13"/>
  <c r="K156" i="13"/>
  <c r="G156" i="13" s="1"/>
  <c r="H156" i="13" s="1"/>
  <c r="I158" i="13"/>
  <c r="K158" i="13" s="1"/>
  <c r="L158" i="13" s="1"/>
  <c r="L155" i="13"/>
  <c r="K155" i="13"/>
  <c r="I155" i="13" s="1"/>
  <c r="J155" i="13" s="1"/>
  <c r="L154" i="13"/>
  <c r="K154" i="13"/>
  <c r="G154" i="13" s="1"/>
  <c r="H154" i="13" s="1"/>
  <c r="L157" i="13"/>
  <c r="K157" i="13"/>
  <c r="G157" i="13" s="1"/>
  <c r="H157" i="13" s="1"/>
  <c r="I145" i="13"/>
  <c r="K145" i="13" s="1"/>
  <c r="L145" i="13" s="1"/>
  <c r="L146" i="13"/>
  <c r="K146" i="13"/>
  <c r="I146" i="13" s="1"/>
  <c r="J146" i="13" s="1"/>
  <c r="I148" i="13"/>
  <c r="G148" i="13" s="1"/>
  <c r="H148" i="13" s="1"/>
  <c r="L142" i="13"/>
  <c r="K142" i="13"/>
  <c r="G142" i="13" s="1"/>
  <c r="H142" i="13" s="1"/>
  <c r="L139" i="13"/>
  <c r="K139" i="13"/>
  <c r="I139" i="13" s="1"/>
  <c r="J139" i="13" s="1"/>
  <c r="L130" i="13"/>
  <c r="K130" i="13"/>
  <c r="G130" i="13" s="1"/>
  <c r="H130" i="13" s="1"/>
  <c r="L129" i="13"/>
  <c r="K129" i="13"/>
  <c r="G129" i="13" s="1"/>
  <c r="H129" i="13" s="1"/>
  <c r="L128" i="13"/>
  <c r="K128" i="13"/>
  <c r="G128" i="13" s="1"/>
  <c r="H128" i="13" s="1"/>
  <c r="L127" i="13"/>
  <c r="K127" i="13"/>
  <c r="I127" i="13" s="1"/>
  <c r="J127" i="13" s="1"/>
  <c r="I131" i="13"/>
  <c r="G131" i="13" s="1"/>
  <c r="H131" i="13" s="1"/>
  <c r="I126" i="13"/>
  <c r="K126" i="13" s="1"/>
  <c r="L126" i="13" s="1"/>
  <c r="L119" i="13"/>
  <c r="K119" i="13"/>
  <c r="G119" i="13" s="1"/>
  <c r="H119" i="13" s="1"/>
  <c r="I120" i="13"/>
  <c r="G120" i="13" s="1"/>
  <c r="H120" i="13" s="1"/>
  <c r="I118" i="13"/>
  <c r="G118" i="13" s="1"/>
  <c r="H118" i="13" s="1"/>
  <c r="I109" i="13"/>
  <c r="L108" i="13"/>
  <c r="K108" i="13"/>
  <c r="I108" i="13" s="1"/>
  <c r="J108" i="13" s="1"/>
  <c r="L107" i="13"/>
  <c r="K107" i="13"/>
  <c r="I107" i="13" s="1"/>
  <c r="J107" i="13" s="1"/>
  <c r="I116" i="13"/>
  <c r="J116" i="13" s="1"/>
  <c r="L114" i="13"/>
  <c r="K114" i="13"/>
  <c r="I114" i="13" s="1"/>
  <c r="J114" i="13" s="1"/>
  <c r="I117" i="13"/>
  <c r="J117" i="13" s="1"/>
  <c r="L113" i="13"/>
  <c r="K113" i="13"/>
  <c r="I113" i="13" s="1"/>
  <c r="J113" i="13" s="1"/>
  <c r="L112" i="13"/>
  <c r="K112" i="13"/>
  <c r="G112" i="13" s="1"/>
  <c r="H112" i="13" s="1"/>
  <c r="L111" i="13"/>
  <c r="K111" i="13"/>
  <c r="I111" i="13" s="1"/>
  <c r="J111" i="13" s="1"/>
  <c r="L110" i="13"/>
  <c r="K110" i="13"/>
  <c r="I110" i="13" s="1"/>
  <c r="J110" i="13" s="1"/>
  <c r="L106" i="13"/>
  <c r="K106" i="13"/>
  <c r="I106" i="13" s="1"/>
  <c r="J106" i="13" s="1"/>
  <c r="L105" i="13"/>
  <c r="K105" i="13"/>
  <c r="I105" i="13" s="1"/>
  <c r="J105" i="13" s="1"/>
  <c r="L115" i="13"/>
  <c r="K115" i="13"/>
  <c r="I115" i="13" s="1"/>
  <c r="J115" i="13" s="1"/>
  <c r="I104" i="13"/>
  <c r="K104" i="13" s="1"/>
  <c r="L104" i="13" s="1"/>
  <c r="L100" i="13"/>
  <c r="K100" i="13"/>
  <c r="G100" i="13" s="1"/>
  <c r="H100" i="13" s="1"/>
  <c r="I103" i="13"/>
  <c r="K103" i="13" s="1"/>
  <c r="L103" i="13" s="1"/>
  <c r="L101" i="13"/>
  <c r="K101" i="13"/>
  <c r="I101" i="13" s="1"/>
  <c r="J101" i="13" s="1"/>
  <c r="L102" i="13"/>
  <c r="K102" i="13"/>
  <c r="I102" i="13" s="1"/>
  <c r="J102" i="13" s="1"/>
  <c r="I99" i="13"/>
  <c r="J99" i="13" s="1"/>
  <c r="L96" i="13"/>
  <c r="K96" i="13"/>
  <c r="I96" i="13" s="1"/>
  <c r="J96" i="13" s="1"/>
  <c r="I98" i="13"/>
  <c r="K98" i="13" s="1"/>
  <c r="L98" i="13" s="1"/>
  <c r="L95" i="13"/>
  <c r="K95" i="13"/>
  <c r="I95" i="13" s="1"/>
  <c r="J95" i="13" s="1"/>
  <c r="L97" i="13"/>
  <c r="K97" i="13"/>
  <c r="G97" i="13" s="1"/>
  <c r="H97" i="13" s="1"/>
  <c r="L87" i="13"/>
  <c r="K87" i="13"/>
  <c r="I87" i="13" s="1"/>
  <c r="J87" i="13" s="1"/>
  <c r="I90" i="13"/>
  <c r="K90" i="13" s="1"/>
  <c r="L90" i="13" s="1"/>
  <c r="L88" i="13"/>
  <c r="K88" i="13"/>
  <c r="I88" i="13" s="1"/>
  <c r="J88" i="13" s="1"/>
  <c r="L89" i="13"/>
  <c r="K89" i="13"/>
  <c r="G89" i="13" s="1"/>
  <c r="H89" i="13" s="1"/>
  <c r="L85" i="13"/>
  <c r="K85" i="13"/>
  <c r="I85" i="13" s="1"/>
  <c r="J85" i="13" s="1"/>
  <c r="I86" i="13"/>
  <c r="K86" i="13" s="1"/>
  <c r="L86" i="13" s="1"/>
  <c r="L81" i="13"/>
  <c r="K81" i="13"/>
  <c r="I81" i="13" s="1"/>
  <c r="J81" i="13" s="1"/>
  <c r="I84" i="13"/>
  <c r="J84" i="13" s="1"/>
  <c r="L82" i="13"/>
  <c r="K82" i="13"/>
  <c r="I82" i="13" s="1"/>
  <c r="J82" i="13" s="1"/>
  <c r="L83" i="13"/>
  <c r="K83" i="13"/>
  <c r="I83" i="13" s="1"/>
  <c r="J83" i="13" s="1"/>
  <c r="L77" i="13"/>
  <c r="K77" i="13"/>
  <c r="I77" i="13" s="1"/>
  <c r="J77" i="13" s="1"/>
  <c r="L76" i="13"/>
  <c r="K76" i="13"/>
  <c r="G76" i="13" s="1"/>
  <c r="H76" i="13" s="1"/>
  <c r="L78" i="13"/>
  <c r="K78" i="13"/>
  <c r="I78" i="13" s="1"/>
  <c r="J78" i="13" s="1"/>
  <c r="I80" i="13"/>
  <c r="K80" i="13" s="1"/>
  <c r="L80" i="13" s="1"/>
  <c r="L75" i="13"/>
  <c r="K75" i="13"/>
  <c r="I75" i="13" s="1"/>
  <c r="J75" i="13" s="1"/>
  <c r="L74" i="13"/>
  <c r="K74" i="13"/>
  <c r="G74" i="13" s="1"/>
  <c r="H74" i="13" s="1"/>
  <c r="L79" i="13"/>
  <c r="K79" i="13"/>
  <c r="I79" i="13" s="1"/>
  <c r="J79" i="13" s="1"/>
  <c r="L70" i="13"/>
  <c r="K70" i="13"/>
  <c r="G70" i="13" s="1"/>
  <c r="H70" i="13" s="1"/>
  <c r="L69" i="13"/>
  <c r="K69" i="13"/>
  <c r="I69" i="13" s="1"/>
  <c r="J69" i="13" s="1"/>
  <c r="L71" i="13"/>
  <c r="K71" i="13"/>
  <c r="G71" i="13" s="1"/>
  <c r="H71" i="13" s="1"/>
  <c r="I73" i="13"/>
  <c r="K73" i="13" s="1"/>
  <c r="L73" i="13" s="1"/>
  <c r="L68" i="13"/>
  <c r="K68" i="13"/>
  <c r="I68" i="13" s="1"/>
  <c r="J68" i="13" s="1"/>
  <c r="L67" i="13"/>
  <c r="K67" i="13"/>
  <c r="I67" i="13" s="1"/>
  <c r="J67" i="13" s="1"/>
  <c r="L72" i="13"/>
  <c r="K72" i="13"/>
  <c r="G72" i="13" s="1"/>
  <c r="H72" i="13" s="1"/>
  <c r="L63" i="13"/>
  <c r="K63" i="13"/>
  <c r="I63" i="13" s="1"/>
  <c r="J63" i="13" s="1"/>
  <c r="L62" i="13"/>
  <c r="K62" i="13"/>
  <c r="I62" i="13" s="1"/>
  <c r="J62" i="13" s="1"/>
  <c r="L64" i="13"/>
  <c r="K64" i="13"/>
  <c r="I64" i="13" s="1"/>
  <c r="J64" i="13" s="1"/>
  <c r="I66" i="13"/>
  <c r="J66" i="13" s="1"/>
  <c r="L61" i="13"/>
  <c r="K61" i="13"/>
  <c r="I61" i="13" s="1"/>
  <c r="J61" i="13" s="1"/>
  <c r="L60" i="13"/>
  <c r="K60" i="13"/>
  <c r="G60" i="13" s="1"/>
  <c r="H60" i="13" s="1"/>
  <c r="L65" i="13"/>
  <c r="K65" i="13"/>
  <c r="I65" i="13" s="1"/>
  <c r="J65" i="13" s="1"/>
  <c r="I58" i="13"/>
  <c r="J58" i="13" s="1"/>
  <c r="L56" i="13"/>
  <c r="K56" i="13"/>
  <c r="I56" i="13" s="1"/>
  <c r="J56" i="13" s="1"/>
  <c r="I59" i="13"/>
  <c r="K59" i="13" s="1"/>
  <c r="L59" i="13" s="1"/>
  <c r="I50" i="13"/>
  <c r="K50" i="13" s="1"/>
  <c r="L50" i="13" s="1"/>
  <c r="L55" i="13"/>
  <c r="K55" i="13"/>
  <c r="G55" i="13" s="1"/>
  <c r="H55" i="13" s="1"/>
  <c r="L54" i="13"/>
  <c r="K54" i="13"/>
  <c r="I54" i="13" s="1"/>
  <c r="J54" i="13" s="1"/>
  <c r="L53" i="13"/>
  <c r="K53" i="13"/>
  <c r="G53" i="13" s="1"/>
  <c r="H53" i="13" s="1"/>
  <c r="L52" i="13"/>
  <c r="K52" i="13"/>
  <c r="I52" i="13" s="1"/>
  <c r="J52" i="13" s="1"/>
  <c r="L49" i="13"/>
  <c r="K49" i="13"/>
  <c r="I49" i="13" s="1"/>
  <c r="J49" i="13" s="1"/>
  <c r="L48" i="13"/>
  <c r="K48" i="13"/>
  <c r="I48" i="13" s="1"/>
  <c r="J48" i="13" s="1"/>
  <c r="L51" i="13"/>
  <c r="K51" i="13"/>
  <c r="G51" i="13" s="1"/>
  <c r="H51" i="13" s="1"/>
  <c r="I47" i="13"/>
  <c r="K47" i="13" s="1"/>
  <c r="L47" i="13" s="1"/>
  <c r="G47" i="13"/>
  <c r="H47" i="13" s="1"/>
  <c r="L57" i="13"/>
  <c r="K57" i="13"/>
  <c r="G57" i="13" s="1"/>
  <c r="H57" i="13" s="1"/>
  <c r="L42" i="13"/>
  <c r="K42" i="13"/>
  <c r="I42" i="13" s="1"/>
  <c r="J42" i="13" s="1"/>
  <c r="L41" i="13"/>
  <c r="K41" i="13"/>
  <c r="G41" i="13" s="1"/>
  <c r="H41" i="13" s="1"/>
  <c r="L43" i="13"/>
  <c r="K43" i="13"/>
  <c r="I43" i="13" s="1"/>
  <c r="J43" i="13" s="1"/>
  <c r="I46" i="13"/>
  <c r="J46" i="13" s="1"/>
  <c r="L40" i="13"/>
  <c r="K40" i="13"/>
  <c r="I40" i="13" s="1"/>
  <c r="J40" i="13" s="1"/>
  <c r="L39" i="13"/>
  <c r="K39" i="13"/>
  <c r="G39" i="13" s="1"/>
  <c r="H39" i="13" s="1"/>
  <c r="I38" i="13"/>
  <c r="K38" i="13" s="1"/>
  <c r="L38" i="13" s="1"/>
  <c r="G38" i="13"/>
  <c r="H38" i="13" s="1"/>
  <c r="L44" i="13"/>
  <c r="K44" i="13"/>
  <c r="G44" i="13" s="1"/>
  <c r="H44" i="13" s="1"/>
  <c r="L34" i="13"/>
  <c r="K34" i="13"/>
  <c r="I34" i="13" s="1"/>
  <c r="J34" i="13" s="1"/>
  <c r="L33" i="13"/>
  <c r="K33" i="13"/>
  <c r="I33" i="13" s="1"/>
  <c r="J33" i="13" s="1"/>
  <c r="L35" i="13"/>
  <c r="K35" i="13"/>
  <c r="I35" i="13" s="1"/>
  <c r="J35" i="13" s="1"/>
  <c r="I37" i="13"/>
  <c r="J37" i="13" s="1"/>
  <c r="L32" i="13"/>
  <c r="K32" i="13"/>
  <c r="I32" i="13" s="1"/>
  <c r="J32" i="13" s="1"/>
  <c r="L31" i="13"/>
  <c r="K31" i="13"/>
  <c r="I31" i="13" s="1"/>
  <c r="J31" i="13" s="1"/>
  <c r="I30" i="13"/>
  <c r="K30" i="13" s="1"/>
  <c r="L30" i="13" s="1"/>
  <c r="G30" i="13"/>
  <c r="H30" i="13" s="1"/>
  <c r="L36" i="13"/>
  <c r="K36" i="13"/>
  <c r="I36" i="13" s="1"/>
  <c r="J36" i="13" s="1"/>
  <c r="L27" i="13"/>
  <c r="K27" i="13"/>
  <c r="I27" i="13" s="1"/>
  <c r="J27" i="13" s="1"/>
  <c r="I29" i="13"/>
  <c r="J29" i="13" s="1"/>
  <c r="L28" i="13"/>
  <c r="K28" i="13"/>
  <c r="I28" i="13" s="1"/>
  <c r="J28" i="13" s="1"/>
  <c r="I26" i="13"/>
  <c r="J26" i="13" s="1"/>
  <c r="G26" i="13"/>
  <c r="H26" i="13" s="1"/>
  <c r="L23" i="13"/>
  <c r="L22" i="13"/>
  <c r="L21" i="13"/>
  <c r="L20" i="13"/>
  <c r="L19" i="13"/>
  <c r="L18" i="13"/>
  <c r="L24" i="13"/>
  <c r="G109" i="13" l="1"/>
  <c r="H109" i="13" s="1"/>
  <c r="I248" i="13"/>
  <c r="J248" i="13" s="1"/>
  <c r="J38" i="13"/>
  <c r="G220" i="13"/>
  <c r="H220" i="13" s="1"/>
  <c r="I57" i="13"/>
  <c r="J57" i="13" s="1"/>
  <c r="G192" i="13"/>
  <c r="H192" i="13" s="1"/>
  <c r="G32" i="13"/>
  <c r="H32" i="13" s="1"/>
  <c r="G34" i="13"/>
  <c r="H34" i="13" s="1"/>
  <c r="I72" i="13"/>
  <c r="J72" i="13" s="1"/>
  <c r="J206" i="13"/>
  <c r="G126" i="13"/>
  <c r="H126" i="13" s="1"/>
  <c r="I154" i="13"/>
  <c r="J154" i="13" s="1"/>
  <c r="G127" i="13"/>
  <c r="H127" i="13" s="1"/>
  <c r="G202" i="13"/>
  <c r="H202" i="13" s="1"/>
  <c r="G209" i="13"/>
  <c r="H209" i="13" s="1"/>
  <c r="G242" i="13"/>
  <c r="H242" i="13" s="1"/>
  <c r="J164" i="13"/>
  <c r="J214" i="13"/>
  <c r="G219" i="13"/>
  <c r="H219" i="13" s="1"/>
  <c r="G236" i="13"/>
  <c r="H236" i="13" s="1"/>
  <c r="G258" i="13"/>
  <c r="H258" i="13" s="1"/>
  <c r="J118" i="13"/>
  <c r="J148" i="13"/>
  <c r="J30" i="13"/>
  <c r="G85" i="13"/>
  <c r="H85" i="13" s="1"/>
  <c r="I119" i="13"/>
  <c r="J119" i="13" s="1"/>
  <c r="G221" i="13"/>
  <c r="H221" i="13" s="1"/>
  <c r="G239" i="13"/>
  <c r="H239" i="13" s="1"/>
  <c r="G110" i="13"/>
  <c r="H110" i="13" s="1"/>
  <c r="G108" i="13"/>
  <c r="H108" i="13" s="1"/>
  <c r="I128" i="13"/>
  <c r="J128" i="13" s="1"/>
  <c r="I184" i="13"/>
  <c r="J184" i="13" s="1"/>
  <c r="I41" i="13"/>
  <c r="J41" i="13" s="1"/>
  <c r="I159" i="13"/>
  <c r="J159" i="13" s="1"/>
  <c r="G187" i="13"/>
  <c r="H187" i="13" s="1"/>
  <c r="J47" i="13"/>
  <c r="G105" i="13"/>
  <c r="H105" i="13" s="1"/>
  <c r="G27" i="13"/>
  <c r="H27" i="13" s="1"/>
  <c r="G63" i="13"/>
  <c r="H63" i="13" s="1"/>
  <c r="J120" i="13"/>
  <c r="I161" i="13"/>
  <c r="J161" i="13" s="1"/>
  <c r="G172" i="13"/>
  <c r="H172" i="13" s="1"/>
  <c r="J178" i="13"/>
  <c r="G205" i="13"/>
  <c r="H205" i="13" s="1"/>
  <c r="J204" i="13"/>
  <c r="K210" i="13"/>
  <c r="L210" i="13" s="1"/>
  <c r="J228" i="13"/>
  <c r="G262" i="13"/>
  <c r="H262" i="13" s="1"/>
  <c r="G291" i="13"/>
  <c r="H291" i="13" s="1"/>
  <c r="G174" i="13"/>
  <c r="H174" i="13" s="1"/>
  <c r="G226" i="13"/>
  <c r="H226" i="13" s="1"/>
  <c r="G267" i="13"/>
  <c r="H267" i="13" s="1"/>
  <c r="K29" i="13"/>
  <c r="L29" i="13" s="1"/>
  <c r="G73" i="13"/>
  <c r="H73" i="13" s="1"/>
  <c r="I70" i="13"/>
  <c r="J70" i="13" s="1"/>
  <c r="G103" i="13"/>
  <c r="H103" i="13" s="1"/>
  <c r="I112" i="13"/>
  <c r="J112" i="13" s="1"/>
  <c r="G139" i="13"/>
  <c r="H139" i="13" s="1"/>
  <c r="I190" i="13"/>
  <c r="J190" i="13" s="1"/>
  <c r="I197" i="13"/>
  <c r="J197" i="13" s="1"/>
  <c r="K209" i="13"/>
  <c r="L209" i="13" s="1"/>
  <c r="J212" i="13"/>
  <c r="I234" i="13"/>
  <c r="J234" i="13" s="1"/>
  <c r="K269" i="13"/>
  <c r="L269" i="13" s="1"/>
  <c r="G62" i="13"/>
  <c r="H62" i="13" s="1"/>
  <c r="J73" i="13"/>
  <c r="J103" i="13"/>
  <c r="J109" i="13"/>
  <c r="G146" i="13"/>
  <c r="H146" i="13" s="1"/>
  <c r="G168" i="13"/>
  <c r="H168" i="13" s="1"/>
  <c r="J211" i="13"/>
  <c r="G252" i="13"/>
  <c r="H252" i="13" s="1"/>
  <c r="G79" i="13"/>
  <c r="H79" i="13" s="1"/>
  <c r="G171" i="13"/>
  <c r="H171" i="13" s="1"/>
  <c r="G210" i="13"/>
  <c r="H210" i="13" s="1"/>
  <c r="I268" i="13"/>
  <c r="J268" i="13" s="1"/>
  <c r="I44" i="13"/>
  <c r="J44" i="13" s="1"/>
  <c r="G42" i="13"/>
  <c r="H42" i="13" s="1"/>
  <c r="G61" i="13"/>
  <c r="H61" i="13" s="1"/>
  <c r="I89" i="13"/>
  <c r="J89" i="13" s="1"/>
  <c r="G111" i="13"/>
  <c r="H111" i="13" s="1"/>
  <c r="G188" i="13"/>
  <c r="H188" i="13" s="1"/>
  <c r="I218" i="13"/>
  <c r="J218" i="13" s="1"/>
  <c r="G278" i="13"/>
  <c r="H278" i="13" s="1"/>
  <c r="I53" i="13"/>
  <c r="J53" i="13" s="1"/>
  <c r="I55" i="13"/>
  <c r="J55" i="13" s="1"/>
  <c r="G56" i="13"/>
  <c r="H56" i="13" s="1"/>
  <c r="G78" i="13"/>
  <c r="H78" i="13" s="1"/>
  <c r="G83" i="13"/>
  <c r="H83" i="13" s="1"/>
  <c r="I97" i="13"/>
  <c r="J97" i="13" s="1"/>
  <c r="G104" i="13"/>
  <c r="H104" i="13" s="1"/>
  <c r="K109" i="13"/>
  <c r="L109" i="13" s="1"/>
  <c r="K120" i="13"/>
  <c r="L120" i="13" s="1"/>
  <c r="J167" i="13"/>
  <c r="J194" i="13"/>
  <c r="J196" i="13"/>
  <c r="I250" i="13"/>
  <c r="J250" i="13" s="1"/>
  <c r="G259" i="13"/>
  <c r="H259" i="13" s="1"/>
  <c r="G273" i="13"/>
  <c r="H273" i="13" s="1"/>
  <c r="K196" i="13"/>
  <c r="L196" i="13" s="1"/>
  <c r="G199" i="13"/>
  <c r="H199" i="13" s="1"/>
  <c r="G49" i="13"/>
  <c r="H49" i="13" s="1"/>
  <c r="I74" i="13"/>
  <c r="J74" i="13" s="1"/>
  <c r="J104" i="13"/>
  <c r="J126" i="13"/>
  <c r="I130" i="13"/>
  <c r="J130" i="13" s="1"/>
  <c r="J158" i="13"/>
  <c r="J175" i="13"/>
  <c r="G186" i="13"/>
  <c r="H186" i="13" s="1"/>
  <c r="J188" i="13"/>
  <c r="I201" i="13"/>
  <c r="J201" i="13" s="1"/>
  <c r="J225" i="13"/>
  <c r="I230" i="13"/>
  <c r="J230" i="13" s="1"/>
  <c r="G233" i="13"/>
  <c r="H233" i="13" s="1"/>
  <c r="I237" i="13"/>
  <c r="J237" i="13" s="1"/>
  <c r="K246" i="13"/>
  <c r="L246" i="13" s="1"/>
  <c r="G253" i="13"/>
  <c r="H253" i="13" s="1"/>
  <c r="I271" i="13"/>
  <c r="J271" i="13" s="1"/>
  <c r="G266" i="13"/>
  <c r="H266" i="13" s="1"/>
  <c r="I39" i="13"/>
  <c r="J39" i="13" s="1"/>
  <c r="I51" i="13"/>
  <c r="J51" i="13" s="1"/>
  <c r="G54" i="13"/>
  <c r="H54" i="13" s="1"/>
  <c r="G50" i="13"/>
  <c r="H50" i="13" s="1"/>
  <c r="I76" i="13"/>
  <c r="J76" i="13" s="1"/>
  <c r="G162" i="13"/>
  <c r="H162" i="13" s="1"/>
  <c r="I176" i="13"/>
  <c r="J176" i="13" s="1"/>
  <c r="G191" i="13"/>
  <c r="H191" i="13" s="1"/>
  <c r="I193" i="13"/>
  <c r="J193" i="13" s="1"/>
  <c r="J207" i="13"/>
  <c r="I216" i="13"/>
  <c r="J216" i="13" s="1"/>
  <c r="G222" i="13"/>
  <c r="H222" i="13" s="1"/>
  <c r="I224" i="13"/>
  <c r="J224" i="13" s="1"/>
  <c r="G279" i="13"/>
  <c r="H279" i="13" s="1"/>
  <c r="G285" i="13"/>
  <c r="H285" i="13" s="1"/>
  <c r="G68" i="13"/>
  <c r="H68" i="13" s="1"/>
  <c r="G101" i="13"/>
  <c r="H101" i="13" s="1"/>
  <c r="G115" i="13"/>
  <c r="H115" i="13" s="1"/>
  <c r="J50" i="13"/>
  <c r="I71" i="13"/>
  <c r="J71" i="13" s="1"/>
  <c r="G82" i="13"/>
  <c r="H82" i="13" s="1"/>
  <c r="G87" i="13"/>
  <c r="H87" i="13" s="1"/>
  <c r="I100" i="13"/>
  <c r="J100" i="13" s="1"/>
  <c r="J131" i="13"/>
  <c r="J145" i="13"/>
  <c r="G155" i="13"/>
  <c r="H155" i="13" s="1"/>
  <c r="I165" i="13"/>
  <c r="J165" i="13" s="1"/>
  <c r="I170" i="13"/>
  <c r="J170" i="13" s="1"/>
  <c r="G198" i="13"/>
  <c r="H198" i="13" s="1"/>
  <c r="G247" i="13"/>
  <c r="H247" i="13" s="1"/>
  <c r="I245" i="13"/>
  <c r="J245" i="13" s="1"/>
  <c r="G261" i="13"/>
  <c r="H261" i="13" s="1"/>
  <c r="I263" i="13"/>
  <c r="J263" i="13" s="1"/>
  <c r="G276" i="13"/>
  <c r="H276" i="13" s="1"/>
  <c r="J285" i="13"/>
  <c r="G36" i="13"/>
  <c r="H36" i="13" s="1"/>
  <c r="G40" i="13"/>
  <c r="H40" i="13" s="1"/>
  <c r="G48" i="13"/>
  <c r="H48" i="13" s="1"/>
  <c r="I60" i="13"/>
  <c r="J60" i="13" s="1"/>
  <c r="G96" i="13"/>
  <c r="H96" i="13" s="1"/>
  <c r="I254" i="13"/>
  <c r="J254" i="13" s="1"/>
  <c r="I289" i="13"/>
  <c r="J289" i="13" s="1"/>
  <c r="K26" i="13"/>
  <c r="L26" i="13" s="1"/>
  <c r="G29" i="13"/>
  <c r="H29" i="13" s="1"/>
  <c r="G31" i="13"/>
  <c r="H31" i="13" s="1"/>
  <c r="K37" i="13"/>
  <c r="L37" i="13" s="1"/>
  <c r="G33" i="13"/>
  <c r="H33" i="13" s="1"/>
  <c r="K46" i="13"/>
  <c r="L46" i="13" s="1"/>
  <c r="G59" i="13"/>
  <c r="H59" i="13" s="1"/>
  <c r="K58" i="13"/>
  <c r="L58" i="13" s="1"/>
  <c r="K66" i="13"/>
  <c r="L66" i="13" s="1"/>
  <c r="G80" i="13"/>
  <c r="H80" i="13" s="1"/>
  <c r="K84" i="13"/>
  <c r="L84" i="13" s="1"/>
  <c r="G86" i="13"/>
  <c r="H86" i="13" s="1"/>
  <c r="G90" i="13"/>
  <c r="H90" i="13" s="1"/>
  <c r="G98" i="13"/>
  <c r="H98" i="13" s="1"/>
  <c r="K99" i="13"/>
  <c r="L99" i="13" s="1"/>
  <c r="K117" i="13"/>
  <c r="L117" i="13" s="1"/>
  <c r="G117" i="13"/>
  <c r="H117" i="13" s="1"/>
  <c r="I231" i="13"/>
  <c r="J231" i="13" s="1"/>
  <c r="G231" i="13"/>
  <c r="H231" i="13" s="1"/>
  <c r="K241" i="13"/>
  <c r="L241" i="13" s="1"/>
  <c r="J241" i="13"/>
  <c r="G35" i="13"/>
  <c r="H35" i="13" s="1"/>
  <c r="G64" i="13"/>
  <c r="H64" i="13" s="1"/>
  <c r="G77" i="13"/>
  <c r="H77" i="13" s="1"/>
  <c r="G95" i="13"/>
  <c r="H95" i="13" s="1"/>
  <c r="G102" i="13"/>
  <c r="H102" i="13" s="1"/>
  <c r="G113" i="13"/>
  <c r="H113" i="13" s="1"/>
  <c r="I255" i="13"/>
  <c r="J255" i="13" s="1"/>
  <c r="G255" i="13"/>
  <c r="H255" i="13" s="1"/>
  <c r="G116" i="13"/>
  <c r="H116" i="13" s="1"/>
  <c r="K116" i="13"/>
  <c r="L116" i="13" s="1"/>
  <c r="I232" i="13"/>
  <c r="J232" i="13" s="1"/>
  <c r="G232" i="13"/>
  <c r="H232" i="13" s="1"/>
  <c r="I265" i="13"/>
  <c r="J265" i="13" s="1"/>
  <c r="G265" i="13"/>
  <c r="H265" i="13" s="1"/>
  <c r="G28" i="13"/>
  <c r="H28" i="13" s="1"/>
  <c r="G43" i="13"/>
  <c r="H43" i="13" s="1"/>
  <c r="G52" i="13"/>
  <c r="H52" i="13" s="1"/>
  <c r="G65" i="13"/>
  <c r="H65" i="13" s="1"/>
  <c r="G67" i="13"/>
  <c r="H67" i="13" s="1"/>
  <c r="G69" i="13"/>
  <c r="H69" i="13" s="1"/>
  <c r="G75" i="13"/>
  <c r="H75" i="13" s="1"/>
  <c r="G81" i="13"/>
  <c r="H81" i="13" s="1"/>
  <c r="G88" i="13"/>
  <c r="H88" i="13" s="1"/>
  <c r="J59" i="13"/>
  <c r="J80" i="13"/>
  <c r="J86" i="13"/>
  <c r="J90" i="13"/>
  <c r="J98" i="13"/>
  <c r="G114" i="13"/>
  <c r="H114" i="13" s="1"/>
  <c r="G37" i="13"/>
  <c r="H37" i="13" s="1"/>
  <c r="G46" i="13"/>
  <c r="H46" i="13" s="1"/>
  <c r="G58" i="13"/>
  <c r="H58" i="13" s="1"/>
  <c r="G66" i="13"/>
  <c r="H66" i="13" s="1"/>
  <c r="G84" i="13"/>
  <c r="H84" i="13" s="1"/>
  <c r="G99" i="13"/>
  <c r="H99" i="13" s="1"/>
  <c r="G106" i="13"/>
  <c r="H106" i="13" s="1"/>
  <c r="G107" i="13"/>
  <c r="H107" i="13" s="1"/>
  <c r="I251" i="13"/>
  <c r="J251" i="13" s="1"/>
  <c r="G251" i="13"/>
  <c r="H251" i="13" s="1"/>
  <c r="I249" i="13"/>
  <c r="J249" i="13" s="1"/>
  <c r="G249" i="13"/>
  <c r="H249" i="13" s="1"/>
  <c r="I238" i="13"/>
  <c r="J238" i="13" s="1"/>
  <c r="G238" i="13"/>
  <c r="H238" i="13" s="1"/>
  <c r="G244" i="13"/>
  <c r="H244" i="13" s="1"/>
  <c r="K244" i="13"/>
  <c r="L244" i="13" s="1"/>
  <c r="J244" i="13"/>
  <c r="I264" i="13"/>
  <c r="J264" i="13" s="1"/>
  <c r="G264" i="13"/>
  <c r="H264" i="13" s="1"/>
  <c r="K278" i="13"/>
  <c r="L278" i="13" s="1"/>
  <c r="I290" i="13"/>
  <c r="J290" i="13" s="1"/>
  <c r="K118" i="13"/>
  <c r="L118" i="13" s="1"/>
  <c r="K131" i="13"/>
  <c r="L131" i="13" s="1"/>
  <c r="I129" i="13"/>
  <c r="J129" i="13" s="1"/>
  <c r="I142" i="13"/>
  <c r="J142" i="13" s="1"/>
  <c r="K148" i="13"/>
  <c r="L148" i="13" s="1"/>
  <c r="G145" i="13"/>
  <c r="H145" i="13" s="1"/>
  <c r="I157" i="13"/>
  <c r="J157" i="13" s="1"/>
  <c r="G158" i="13"/>
  <c r="H158" i="13" s="1"/>
  <c r="I156" i="13"/>
  <c r="J156" i="13" s="1"/>
  <c r="I160" i="13"/>
  <c r="J160" i="13" s="1"/>
  <c r="G167" i="13"/>
  <c r="H167" i="13" s="1"/>
  <c r="I163" i="13"/>
  <c r="J163" i="13" s="1"/>
  <c r="I169" i="13"/>
  <c r="J169" i="13" s="1"/>
  <c r="I173" i="13"/>
  <c r="J173" i="13" s="1"/>
  <c r="K178" i="13"/>
  <c r="L178" i="13" s="1"/>
  <c r="I195" i="13"/>
  <c r="J195" i="13" s="1"/>
  <c r="I189" i="13"/>
  <c r="J189" i="13" s="1"/>
  <c r="I200" i="13"/>
  <c r="J200" i="13" s="1"/>
  <c r="G207" i="13"/>
  <c r="H207" i="13" s="1"/>
  <c r="I203" i="13"/>
  <c r="J203" i="13" s="1"/>
  <c r="K206" i="13"/>
  <c r="L206" i="13" s="1"/>
  <c r="G211" i="13"/>
  <c r="H211" i="13" s="1"/>
  <c r="K212" i="13"/>
  <c r="L212" i="13" s="1"/>
  <c r="I217" i="13"/>
  <c r="J217" i="13" s="1"/>
  <c r="I215" i="13"/>
  <c r="J215" i="13" s="1"/>
  <c r="I223" i="13"/>
  <c r="J223" i="13" s="1"/>
  <c r="G228" i="13"/>
  <c r="H228" i="13" s="1"/>
  <c r="I235" i="13"/>
  <c r="J235" i="13" s="1"/>
  <c r="L231" i="13"/>
  <c r="J277" i="13"/>
  <c r="K277" i="13"/>
  <c r="L277" i="13" s="1"/>
  <c r="G286" i="13"/>
  <c r="H286" i="13" s="1"/>
  <c r="J229" i="13"/>
  <c r="J240" i="13"/>
  <c r="J257" i="13"/>
  <c r="J261" i="13"/>
  <c r="J259" i="13"/>
  <c r="J256" i="13"/>
  <c r="J270" i="13"/>
  <c r="J273" i="13"/>
  <c r="J279" i="13"/>
  <c r="J291" i="13"/>
  <c r="J286" i="13"/>
  <c r="F7" i="7" l="1"/>
  <c r="R109" i="1" s="1"/>
  <c r="N117" i="1" l="1"/>
  <c r="O244" i="14"/>
  <c r="O243" i="14"/>
  <c r="C50" i="1" l="1"/>
  <c r="N108" i="1" l="1"/>
  <c r="R120" i="1"/>
  <c r="L25" i="13" l="1"/>
  <c r="G24" i="13"/>
  <c r="H24" i="13" s="1"/>
  <c r="G20" i="13"/>
  <c r="H20" i="13" s="1"/>
  <c r="G22" i="13"/>
  <c r="H22" i="13" s="1"/>
  <c r="G19" i="13"/>
  <c r="H19" i="13" s="1"/>
  <c r="G21" i="13"/>
  <c r="H21" i="13" s="1"/>
  <c r="G23" i="13"/>
  <c r="H23" i="13" s="1"/>
  <c r="G25" i="13"/>
  <c r="H25" i="13" s="1"/>
  <c r="A8" i="7" l="1"/>
  <c r="A9" i="7" s="1"/>
  <c r="A10" i="7" l="1"/>
  <c r="F9" i="7"/>
  <c r="F8" i="7"/>
  <c r="O222" i="14"/>
  <c r="O217" i="14"/>
  <c r="K62" i="17"/>
  <c r="N15" i="1"/>
  <c r="O251" i="14"/>
  <c r="O375" i="14"/>
  <c r="Q200" i="15"/>
  <c r="N71" i="1"/>
  <c r="Q74" i="15"/>
  <c r="J26" i="1"/>
  <c r="R16" i="1"/>
  <c r="I276" i="11"/>
  <c r="K104" i="17"/>
  <c r="K138" i="17"/>
  <c r="P45" i="13"/>
  <c r="N37" i="1"/>
  <c r="N34" i="1"/>
  <c r="K133" i="17"/>
  <c r="Q201" i="15"/>
  <c r="J36" i="1"/>
  <c r="N66" i="1"/>
  <c r="N41" i="1"/>
  <c r="J21" i="1"/>
  <c r="R50" i="1"/>
  <c r="O219" i="14"/>
  <c r="I245" i="11"/>
  <c r="O234" i="14"/>
  <c r="R42" i="1"/>
  <c r="N99" i="1"/>
  <c r="N101" i="1"/>
  <c r="N103" i="1"/>
  <c r="J16" i="1"/>
  <c r="I96" i="11"/>
  <c r="R25" i="1"/>
  <c r="R71" i="1"/>
  <c r="N54" i="1"/>
  <c r="N109" i="1"/>
  <c r="Q41" i="15"/>
  <c r="R75" i="1"/>
  <c r="K41" i="17"/>
  <c r="K163" i="17"/>
  <c r="N27" i="1"/>
  <c r="Q202" i="15"/>
  <c r="I78" i="11"/>
  <c r="J65" i="1"/>
  <c r="R68" i="1"/>
  <c r="I36" i="11"/>
  <c r="N47" i="1"/>
  <c r="N52" i="1"/>
  <c r="J31" i="1"/>
  <c r="Q100" i="15"/>
  <c r="N57" i="1"/>
  <c r="O221" i="14"/>
  <c r="Q213" i="15"/>
  <c r="Q198" i="15"/>
  <c r="O218" i="14"/>
  <c r="F10" i="7"/>
  <c r="P135" i="13" s="1"/>
  <c r="A11" i="7"/>
  <c r="I52" i="11"/>
  <c r="K55" i="17"/>
  <c r="J71" i="1"/>
  <c r="R36" i="1"/>
  <c r="K35" i="17"/>
  <c r="R33" i="1"/>
  <c r="R22" i="1"/>
  <c r="J107" i="1"/>
  <c r="I170" i="11"/>
  <c r="K28" i="17"/>
  <c r="Q199" i="15"/>
  <c r="K29" i="17"/>
  <c r="J18" i="1"/>
  <c r="I128" i="11"/>
  <c r="Q55" i="15"/>
  <c r="O252" i="14"/>
  <c r="R65" i="1"/>
  <c r="N75" i="1"/>
  <c r="K22" i="17" l="1"/>
  <c r="J41" i="1"/>
  <c r="R31" i="1"/>
  <c r="N31" i="1"/>
  <c r="O67" i="14"/>
  <c r="Q47" i="15"/>
  <c r="K44" i="17"/>
  <c r="O220" i="14"/>
  <c r="R18" i="1"/>
  <c r="Q197" i="15"/>
  <c r="R108" i="1"/>
  <c r="J99" i="1"/>
  <c r="N20" i="1"/>
  <c r="I37" i="11"/>
  <c r="Q143" i="15"/>
  <c r="R46" i="1"/>
  <c r="A12" i="7"/>
  <c r="F11" i="7"/>
  <c r="P177" i="13"/>
  <c r="P272" i="13"/>
  <c r="P147" i="13"/>
  <c r="P143" i="13"/>
  <c r="P260" i="13"/>
  <c r="P243" i="13"/>
  <c r="P166" i="13"/>
  <c r="P227" i="13"/>
  <c r="P140" i="13"/>
  <c r="I261" i="11" l="1"/>
  <c r="I235" i="11"/>
  <c r="I82" i="11"/>
  <c r="I39" i="11"/>
  <c r="I99" i="11"/>
  <c r="I155" i="11"/>
  <c r="I180" i="11"/>
  <c r="I115" i="11"/>
  <c r="I54" i="11"/>
  <c r="A13" i="7"/>
  <c r="F12" i="7"/>
  <c r="A14" i="7" l="1"/>
  <c r="F13" i="7"/>
  <c r="I181" i="11"/>
  <c r="I236" i="11"/>
  <c r="I57" i="11"/>
  <c r="I228" i="11" l="1"/>
  <c r="I202" i="11"/>
  <c r="I126" i="11"/>
  <c r="I50" i="11"/>
  <c r="I112" i="11"/>
  <c r="I242" i="11"/>
  <c r="I24" i="11"/>
  <c r="I140" i="11"/>
  <c r="I34" i="11"/>
  <c r="I209" i="11"/>
  <c r="I136" i="11"/>
  <c r="I167" i="11"/>
  <c r="I230" i="11"/>
  <c r="I16" i="11"/>
  <c r="I138" i="11"/>
  <c r="I75" i="11"/>
  <c r="I93" i="11"/>
  <c r="I152" i="11"/>
  <c r="A15" i="7"/>
  <c r="F14" i="7"/>
  <c r="N85" i="1" l="1"/>
  <c r="N87" i="1"/>
  <c r="R142" i="1"/>
  <c r="A16" i="7"/>
  <c r="F15" i="7"/>
  <c r="O266" i="14" l="1"/>
  <c r="O246" i="14"/>
  <c r="O228" i="14"/>
  <c r="P48" i="13"/>
  <c r="O341" i="14"/>
  <c r="O325" i="14"/>
  <c r="O339" i="14"/>
  <c r="O108" i="14"/>
  <c r="O53" i="14"/>
  <c r="O35" i="14"/>
  <c r="O267" i="14"/>
  <c r="O176" i="14"/>
  <c r="O124" i="14"/>
  <c r="O90" i="14"/>
  <c r="O106" i="14"/>
  <c r="P49" i="13"/>
  <c r="P74" i="13"/>
  <c r="O37" i="14"/>
  <c r="P197" i="13"/>
  <c r="P232" i="13"/>
  <c r="O323" i="14"/>
  <c r="O73" i="14"/>
  <c r="O105" i="14"/>
  <c r="O268" i="14"/>
  <c r="O321" i="14"/>
  <c r="O54" i="14"/>
  <c r="P248" i="13"/>
  <c r="O89" i="14"/>
  <c r="O358" i="14"/>
  <c r="P155" i="13"/>
  <c r="O322" i="14"/>
  <c r="O52" i="14"/>
  <c r="O340" i="14"/>
  <c r="P215" i="13"/>
  <c r="P75" i="13"/>
  <c r="O229" i="14"/>
  <c r="P168" i="13"/>
  <c r="O122" i="14"/>
  <c r="P233" i="13"/>
  <c r="O36" i="14"/>
  <c r="O360" i="14"/>
  <c r="O125" i="14"/>
  <c r="P106" i="13"/>
  <c r="O293" i="14"/>
  <c r="O324" i="14"/>
  <c r="O71" i="14"/>
  <c r="O230" i="14"/>
  <c r="O91" i="14"/>
  <c r="O175" i="14"/>
  <c r="O248" i="14"/>
  <c r="P249" i="13"/>
  <c r="O278" i="14"/>
  <c r="O308" i="14"/>
  <c r="P216" i="13"/>
  <c r="O304" i="14"/>
  <c r="P262" i="13"/>
  <c r="O305" i="14"/>
  <c r="P67" i="13"/>
  <c r="P187" i="13"/>
  <c r="P154" i="13"/>
  <c r="P169" i="13"/>
  <c r="P61" i="13"/>
  <c r="O306" i="14"/>
  <c r="O342" i="14"/>
  <c r="O359" i="14"/>
  <c r="O70" i="14"/>
  <c r="P263" i="13"/>
  <c r="O107" i="14"/>
  <c r="O280" i="14"/>
  <c r="P68" i="13"/>
  <c r="O356" i="14"/>
  <c r="O307" i="14"/>
  <c r="O123" i="14"/>
  <c r="P60" i="13"/>
  <c r="P40" i="13"/>
  <c r="P32" i="13"/>
  <c r="O338" i="14"/>
  <c r="O357" i="14"/>
  <c r="O281" i="14"/>
  <c r="O247" i="14"/>
  <c r="O279" i="14"/>
  <c r="O174" i="14"/>
  <c r="O72" i="14"/>
  <c r="P31" i="13"/>
  <c r="P198" i="13"/>
  <c r="P39" i="13"/>
  <c r="P105" i="13"/>
  <c r="O88" i="14"/>
  <c r="P186" i="13"/>
  <c r="A17" i="7"/>
  <c r="F16" i="7"/>
  <c r="R30" i="1" l="1"/>
  <c r="K103" i="17"/>
  <c r="K135" i="17"/>
  <c r="K73" i="17"/>
  <c r="R15" i="1"/>
  <c r="K79" i="17"/>
  <c r="N33" i="1"/>
  <c r="K23" i="17"/>
  <c r="K95" i="17"/>
  <c r="K40" i="17"/>
  <c r="K61" i="17"/>
  <c r="J20" i="1"/>
  <c r="R41" i="1"/>
  <c r="N26" i="1"/>
  <c r="R21" i="1"/>
  <c r="J30" i="1"/>
  <c r="N14" i="1"/>
  <c r="K90" i="17"/>
  <c r="K68" i="17"/>
  <c r="A18" i="7"/>
  <c r="F17" i="7"/>
  <c r="A19" i="7" l="1"/>
  <c r="F18" i="7"/>
  <c r="K178" i="17"/>
  <c r="K177" i="17"/>
  <c r="O74" i="14" l="1"/>
  <c r="O75" i="14"/>
  <c r="A20" i="7"/>
  <c r="F19" i="7"/>
  <c r="U117" i="19" l="1"/>
  <c r="U64" i="19"/>
  <c r="U118" i="19"/>
  <c r="U63" i="19"/>
  <c r="A21" i="7"/>
  <c r="F20" i="7"/>
  <c r="Q60" i="16" l="1"/>
  <c r="Q29" i="16"/>
  <c r="O345" i="14"/>
  <c r="Q50" i="15"/>
  <c r="Q50" i="16"/>
  <c r="Q16" i="15"/>
  <c r="Q248" i="15"/>
  <c r="Q15" i="16"/>
  <c r="O78" i="14"/>
  <c r="O362" i="14"/>
  <c r="O361" i="14"/>
  <c r="O112" i="14"/>
  <c r="Q70" i="15"/>
  <c r="Q17" i="16"/>
  <c r="O56" i="14"/>
  <c r="Q20" i="16"/>
  <c r="O344" i="14"/>
  <c r="O269" i="14"/>
  <c r="Q11" i="16"/>
  <c r="Q79" i="15"/>
  <c r="Q18" i="16"/>
  <c r="Q125" i="15"/>
  <c r="Q297" i="15"/>
  <c r="O20" i="14"/>
  <c r="O284" i="14"/>
  <c r="O111" i="14"/>
  <c r="O29" i="14"/>
  <c r="O283" i="14"/>
  <c r="Q38" i="16"/>
  <c r="Q71" i="15"/>
  <c r="Q39" i="16"/>
  <c r="Q61" i="15"/>
  <c r="O94" i="14"/>
  <c r="O138" i="14"/>
  <c r="O39" i="14"/>
  <c r="Q288" i="15"/>
  <c r="Q210" i="15"/>
  <c r="Q38" i="15"/>
  <c r="Q21" i="16"/>
  <c r="Q268" i="15"/>
  <c r="Q65" i="16"/>
  <c r="O327" i="14"/>
  <c r="O310" i="14"/>
  <c r="Q46" i="16"/>
  <c r="Q86" i="15"/>
  <c r="Q40" i="16"/>
  <c r="Q16" i="16"/>
  <c r="O95" i="14"/>
  <c r="Q31" i="16"/>
  <c r="Q30" i="15"/>
  <c r="Q52" i="16"/>
  <c r="O77" i="14"/>
  <c r="Q269" i="15"/>
  <c r="Q12" i="16"/>
  <c r="Q93" i="15"/>
  <c r="O127" i="14"/>
  <c r="Q139" i="15"/>
  <c r="Q64" i="16"/>
  <c r="Q53" i="16"/>
  <c r="Q277" i="15"/>
  <c r="Q30" i="16"/>
  <c r="O21" i="14"/>
  <c r="Q28" i="16"/>
  <c r="O57" i="14"/>
  <c r="O177" i="14"/>
  <c r="Q51" i="15"/>
  <c r="O168" i="14"/>
  <c r="O326" i="14"/>
  <c r="Q278" i="15"/>
  <c r="Q14" i="16"/>
  <c r="Q298" i="15"/>
  <c r="O128" i="14"/>
  <c r="Q23" i="15"/>
  <c r="Q51" i="16"/>
  <c r="Q289" i="15"/>
  <c r="O139" i="14"/>
  <c r="O231" i="14"/>
  <c r="Q239" i="15"/>
  <c r="Q45" i="16"/>
  <c r="Q238" i="15"/>
  <c r="O145" i="14"/>
  <c r="Q247" i="15"/>
  <c r="Q13" i="16"/>
  <c r="O309" i="14"/>
  <c r="A22" i="7"/>
  <c r="A23" i="7" s="1"/>
  <c r="A24" i="7" s="1"/>
  <c r="F21" i="7"/>
  <c r="F24" i="7" l="1"/>
  <c r="U9" i="19" s="1"/>
  <c r="A25" i="7"/>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F23" i="7"/>
  <c r="F22" i="7"/>
  <c r="K43" i="17"/>
  <c r="F101" i="7" l="1"/>
  <c r="A102" i="7"/>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F31" i="7"/>
  <c r="K54" i="17"/>
  <c r="K39" i="17"/>
  <c r="K34" i="17"/>
  <c r="K27" i="17"/>
  <c r="K67" i="17"/>
  <c r="K60" i="17"/>
  <c r="K49" i="17"/>
  <c r="J142" i="1"/>
  <c r="F25" i="7"/>
  <c r="I177" i="11" s="1"/>
  <c r="F137" i="7" l="1"/>
  <c r="A138" i="7"/>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U31" i="19"/>
  <c r="U12" i="19"/>
  <c r="U11" i="19"/>
  <c r="U10" i="19"/>
  <c r="F45" i="7"/>
  <c r="N61" i="1"/>
  <c r="J61" i="1"/>
  <c r="F26" i="7"/>
  <c r="F46" i="7" l="1"/>
  <c r="I61" i="11"/>
  <c r="I187" i="11"/>
  <c r="F27" i="7"/>
  <c r="K153" i="17" l="1"/>
  <c r="K166" i="17"/>
  <c r="K179" i="17"/>
  <c r="F47" i="7"/>
  <c r="I120" i="11"/>
  <c r="I188" i="11"/>
  <c r="I63" i="11"/>
  <c r="I237" i="11"/>
  <c r="I28" i="11"/>
  <c r="I189" i="11"/>
  <c r="I87" i="11"/>
  <c r="I133" i="11"/>
  <c r="I190" i="11"/>
  <c r="I65" i="11"/>
  <c r="I66" i="11"/>
  <c r="I64" i="11"/>
  <c r="I191" i="11"/>
  <c r="I105" i="11"/>
  <c r="I160" i="11"/>
  <c r="I44" i="11"/>
  <c r="I148" i="11"/>
  <c r="F28" i="7"/>
  <c r="F48" i="7" l="1"/>
  <c r="F29" i="7"/>
  <c r="U125" i="19"/>
  <c r="U124" i="19"/>
  <c r="U123" i="19"/>
  <c r="U122" i="19"/>
  <c r="K111" i="17" l="1"/>
  <c r="K125" i="17"/>
  <c r="K124" i="17"/>
  <c r="K112" i="17"/>
  <c r="F49" i="7"/>
  <c r="K50" i="17"/>
  <c r="K99" i="17"/>
  <c r="F30" i="7"/>
  <c r="O343" i="14" s="1"/>
  <c r="F50" i="7" l="1"/>
  <c r="F32" i="7"/>
  <c r="Q88" i="16" s="1"/>
  <c r="F51" i="7" l="1"/>
  <c r="F33" i="7"/>
  <c r="F52" i="7" l="1"/>
  <c r="I264" i="11"/>
  <c r="I197" i="11"/>
  <c r="I29" i="11"/>
  <c r="I163" i="11"/>
  <c r="F34" i="7"/>
  <c r="U161" i="19" s="1"/>
  <c r="F53" i="7" l="1"/>
  <c r="F35" i="7"/>
  <c r="F54" i="7" l="1"/>
  <c r="U165" i="19"/>
  <c r="U166" i="19"/>
  <c r="F36" i="7"/>
  <c r="Q35" i="16" s="1"/>
  <c r="F55" i="7" l="1"/>
  <c r="F39" i="7"/>
  <c r="F37" i="7"/>
  <c r="U102" i="19" s="1"/>
  <c r="F56" i="7" l="1"/>
  <c r="F38" i="7"/>
  <c r="F57" i="7" l="1"/>
  <c r="O402" i="14"/>
  <c r="K164" i="17"/>
  <c r="N145" i="1"/>
  <c r="J145" i="1"/>
  <c r="Q311" i="15"/>
  <c r="O380" i="14"/>
  <c r="R158" i="1"/>
  <c r="O379" i="14"/>
  <c r="R146" i="1"/>
  <c r="F40" i="7"/>
  <c r="F58" i="7" l="1"/>
  <c r="F41" i="7"/>
  <c r="Q285" i="15"/>
  <c r="P245" i="13"/>
  <c r="F59" i="7" l="1"/>
  <c r="I38" i="11"/>
  <c r="I55" i="11"/>
  <c r="I178" i="11"/>
  <c r="I145" i="11"/>
  <c r="I80" i="11"/>
  <c r="I98" i="11"/>
  <c r="F42" i="7"/>
  <c r="O157" i="14" l="1"/>
  <c r="K142" i="17"/>
  <c r="K148" i="17"/>
  <c r="K123" i="17"/>
  <c r="J82" i="1"/>
  <c r="K134" i="17"/>
  <c r="K169" i="17"/>
  <c r="R115" i="1"/>
  <c r="K147" i="17"/>
  <c r="K126" i="17"/>
  <c r="Q175" i="15"/>
  <c r="N115" i="1"/>
  <c r="K145" i="17"/>
  <c r="K96" i="17"/>
  <c r="P182" i="13"/>
  <c r="J115" i="1"/>
  <c r="K144" i="17"/>
  <c r="Q204" i="15"/>
  <c r="Q10" i="15"/>
  <c r="K165" i="17"/>
  <c r="K137" i="17"/>
  <c r="O202" i="14"/>
  <c r="R92" i="1"/>
  <c r="K131" i="17"/>
  <c r="K130" i="17"/>
  <c r="N91" i="1"/>
  <c r="K175" i="17"/>
  <c r="K143" i="17"/>
  <c r="K105" i="17"/>
  <c r="K171" i="17"/>
  <c r="K91" i="17"/>
  <c r="K167" i="17"/>
  <c r="K168" i="17"/>
  <c r="K128" i="17"/>
  <c r="K154" i="17"/>
  <c r="Q207" i="15"/>
  <c r="O259" i="14"/>
  <c r="Q208" i="15"/>
  <c r="R84" i="1"/>
  <c r="K155" i="17"/>
  <c r="N84" i="1"/>
  <c r="K152" i="17"/>
  <c r="K110" i="17"/>
  <c r="J84" i="1"/>
  <c r="Q233" i="15"/>
  <c r="K151" i="17"/>
  <c r="K115" i="17"/>
  <c r="R82" i="1"/>
  <c r="N92" i="1"/>
  <c r="J92" i="1"/>
  <c r="R91" i="1"/>
  <c r="J91" i="1"/>
  <c r="K149" i="17"/>
  <c r="K116" i="17"/>
  <c r="N82" i="1"/>
  <c r="F60" i="7"/>
  <c r="R63" i="1"/>
  <c r="R60" i="1"/>
  <c r="O11" i="14"/>
  <c r="R13" i="1"/>
  <c r="J13" i="1"/>
  <c r="N10" i="1"/>
  <c r="N9" i="1"/>
  <c r="P132" i="13"/>
  <c r="O198" i="14"/>
  <c r="Q172" i="15"/>
  <c r="J83" i="1"/>
  <c r="Q173" i="15"/>
  <c r="R89" i="1"/>
  <c r="Q161" i="15"/>
  <c r="P124" i="13"/>
  <c r="O189" i="14"/>
  <c r="Q338" i="15"/>
  <c r="N89" i="1"/>
  <c r="P121" i="13"/>
  <c r="O188" i="14"/>
  <c r="Q335" i="15"/>
  <c r="J89" i="1"/>
  <c r="O187" i="14"/>
  <c r="Q160" i="15"/>
  <c r="N161" i="1"/>
  <c r="R161" i="1"/>
  <c r="K108" i="17"/>
  <c r="R160" i="1"/>
  <c r="K114" i="17"/>
  <c r="O407" i="14"/>
  <c r="N160" i="1"/>
  <c r="K113" i="17"/>
  <c r="O184" i="14"/>
  <c r="O406" i="14"/>
  <c r="J160" i="1"/>
  <c r="K121" i="17"/>
  <c r="Q162" i="15"/>
  <c r="Q156" i="15"/>
  <c r="Q157" i="15"/>
  <c r="K120" i="17"/>
  <c r="K181" i="17"/>
  <c r="R80" i="1"/>
  <c r="N80" i="1"/>
  <c r="O199" i="14"/>
  <c r="N83" i="1"/>
  <c r="Q337" i="15"/>
  <c r="J80" i="1"/>
  <c r="Q171" i="15"/>
  <c r="P293" i="13"/>
  <c r="O200" i="14"/>
  <c r="Q336" i="15"/>
  <c r="R83" i="1"/>
  <c r="Q256" i="15"/>
  <c r="P185" i="13"/>
  <c r="O240" i="14"/>
  <c r="O204" i="14"/>
  <c r="Q107" i="15"/>
  <c r="O49" i="14"/>
  <c r="P158" i="13"/>
  <c r="J63" i="1"/>
  <c r="Q132" i="15"/>
  <c r="N146" i="1"/>
  <c r="R153" i="1"/>
  <c r="O47" i="14"/>
  <c r="O26" i="14"/>
  <c r="O367" i="14"/>
  <c r="P94" i="13"/>
  <c r="R103" i="1"/>
  <c r="Q9" i="15"/>
  <c r="Q316" i="15"/>
  <c r="R152" i="1"/>
  <c r="O331" i="14"/>
  <c r="Q14" i="15"/>
  <c r="O254" i="14"/>
  <c r="O384" i="14"/>
  <c r="R112" i="1"/>
  <c r="O192" i="14"/>
  <c r="O242" i="14"/>
  <c r="N127" i="1"/>
  <c r="Q33" i="15"/>
  <c r="O118" i="14"/>
  <c r="Q315" i="15"/>
  <c r="N21" i="1"/>
  <c r="P212" i="13"/>
  <c r="N29" i="1"/>
  <c r="Q29" i="15"/>
  <c r="J124" i="1"/>
  <c r="K157" i="17"/>
  <c r="Q21" i="15"/>
  <c r="Q57" i="15"/>
  <c r="O290" i="14"/>
  <c r="J72" i="1"/>
  <c r="Q322" i="15"/>
  <c r="J40" i="1"/>
  <c r="N49" i="1"/>
  <c r="P153" i="13"/>
  <c r="P104" i="13"/>
  <c r="R69" i="1"/>
  <c r="J120" i="1"/>
  <c r="P196" i="13"/>
  <c r="J103" i="1"/>
  <c r="N38" i="1"/>
  <c r="J78" i="1"/>
  <c r="Q242" i="15"/>
  <c r="Q324" i="15"/>
  <c r="P261" i="13"/>
  <c r="O196" i="14"/>
  <c r="P180" i="13"/>
  <c r="Q123" i="15"/>
  <c r="Q273" i="15"/>
  <c r="N79" i="1"/>
  <c r="P211" i="13"/>
  <c r="Q283" i="15"/>
  <c r="Q274" i="15"/>
  <c r="O403" i="14"/>
  <c r="Q76" i="15"/>
  <c r="N110" i="1"/>
  <c r="Q293" i="15"/>
  <c r="R77" i="1"/>
  <c r="J150" i="1"/>
  <c r="J79" i="1"/>
  <c r="Q28" i="15"/>
  <c r="R141" i="1"/>
  <c r="K85" i="17"/>
  <c r="O133" i="14"/>
  <c r="O369" i="14"/>
  <c r="N124" i="1"/>
  <c r="Q44" i="15"/>
  <c r="Q12" i="15"/>
  <c r="O236" i="14"/>
  <c r="K8" i="17"/>
  <c r="Q272" i="15"/>
  <c r="Q169" i="15"/>
  <c r="N102" i="1"/>
  <c r="O195" i="14"/>
  <c r="P279" i="13"/>
  <c r="O84" i="14"/>
  <c r="R43" i="1"/>
  <c r="Q136" i="15"/>
  <c r="O235" i="14"/>
  <c r="N95" i="1"/>
  <c r="R37" i="1"/>
  <c r="N100" i="1"/>
  <c r="P9" i="13"/>
  <c r="O237" i="14"/>
  <c r="Q319" i="15"/>
  <c r="Q254" i="15"/>
  <c r="O382" i="14"/>
  <c r="R99" i="1"/>
  <c r="O330" i="14"/>
  <c r="O274" i="14"/>
  <c r="Q177" i="15"/>
  <c r="P103" i="13"/>
  <c r="O388" i="14"/>
  <c r="P46" i="13"/>
  <c r="N73" i="1"/>
  <c r="R138" i="1"/>
  <c r="Q144" i="15"/>
  <c r="O197" i="14"/>
  <c r="O299" i="14"/>
  <c r="Q251" i="15"/>
  <c r="O63" i="14"/>
  <c r="R66" i="1"/>
  <c r="P287" i="13"/>
  <c r="Q27" i="15"/>
  <c r="N141" i="1"/>
  <c r="P37" i="13"/>
  <c r="J25" i="1"/>
  <c r="Q164" i="15"/>
  <c r="Q101" i="15"/>
  <c r="Q122" i="15"/>
  <c r="N42" i="1"/>
  <c r="O149" i="14"/>
  <c r="O273" i="14"/>
  <c r="Q221" i="15"/>
  <c r="Q67" i="15"/>
  <c r="N153" i="1"/>
  <c r="O99" i="14"/>
  <c r="Q237" i="15"/>
  <c r="J130" i="1"/>
  <c r="R155" i="1"/>
  <c r="J125" i="1"/>
  <c r="R44" i="1"/>
  <c r="R57" i="1"/>
  <c r="Q92" i="15"/>
  <c r="Q332" i="15"/>
  <c r="J96" i="1"/>
  <c r="Q65" i="15"/>
  <c r="R52" i="1"/>
  <c r="J100" i="1"/>
  <c r="J137" i="1"/>
  <c r="J45" i="1"/>
  <c r="O209" i="14"/>
  <c r="N76" i="1"/>
  <c r="O143" i="14"/>
  <c r="P207" i="13"/>
  <c r="P291" i="13"/>
  <c r="Q36" i="15"/>
  <c r="O376" i="14"/>
  <c r="P16" i="13"/>
  <c r="Q118" i="15"/>
  <c r="O286" i="14"/>
  <c r="Q95" i="15"/>
  <c r="Q108" i="15"/>
  <c r="Q106" i="15"/>
  <c r="P280" i="13"/>
  <c r="R90" i="1"/>
  <c r="N72" i="1"/>
  <c r="Q228" i="15"/>
  <c r="Q223" i="15"/>
  <c r="Q309" i="15"/>
  <c r="J53" i="1"/>
  <c r="Q265" i="15"/>
  <c r="O148" i="14"/>
  <c r="O241" i="14"/>
  <c r="Q187" i="15"/>
  <c r="N58" i="1"/>
  <c r="P148" i="13"/>
  <c r="O263" i="14"/>
  <c r="P133" i="13"/>
  <c r="Q282" i="15"/>
  <c r="Q192" i="15"/>
  <c r="N22" i="1"/>
  <c r="Q312" i="15"/>
  <c r="P117" i="13"/>
  <c r="O159" i="14"/>
  <c r="Q22" i="15"/>
  <c r="R78" i="1"/>
  <c r="Q151" i="15"/>
  <c r="J113" i="1"/>
  <c r="P144" i="13"/>
  <c r="O393" i="14"/>
  <c r="Q215" i="15"/>
  <c r="O351" i="14"/>
  <c r="P282" i="13"/>
  <c r="Q243" i="15"/>
  <c r="Q295" i="15"/>
  <c r="Q130" i="15"/>
  <c r="Q222" i="15"/>
  <c r="O24" i="14"/>
  <c r="P59" i="13"/>
  <c r="Q96" i="15"/>
  <c r="P167" i="13"/>
  <c r="Q176" i="15"/>
  <c r="J153" i="1"/>
  <c r="O32" i="14"/>
  <c r="Q328" i="15"/>
  <c r="Q245" i="15"/>
  <c r="O9" i="14"/>
  <c r="P275" i="13"/>
  <c r="J56" i="1"/>
  <c r="R67" i="1"/>
  <c r="J66" i="1"/>
  <c r="P86" i="13"/>
  <c r="O34" i="14"/>
  <c r="Q292" i="15"/>
  <c r="Q317" i="15"/>
  <c r="Q260" i="15"/>
  <c r="N106" i="1"/>
  <c r="Q310" i="15"/>
  <c r="Q275" i="15"/>
  <c r="N63" i="1"/>
  <c r="N18" i="1"/>
  <c r="Q155" i="15"/>
  <c r="N118" i="1"/>
  <c r="O165" i="14"/>
  <c r="O144" i="14"/>
  <c r="R149" i="1"/>
  <c r="N119" i="1"/>
  <c r="Q323" i="15"/>
  <c r="N152" i="1"/>
  <c r="N65" i="1"/>
  <c r="Q236" i="15"/>
  <c r="O25" i="14"/>
  <c r="R47" i="1"/>
  <c r="P98" i="13"/>
  <c r="R70" i="1"/>
  <c r="R132" i="1"/>
  <c r="J37" i="1"/>
  <c r="N55" i="1"/>
  <c r="O132" i="14"/>
  <c r="Q153" i="15"/>
  <c r="O167" i="14"/>
  <c r="Q121" i="15"/>
  <c r="Q83" i="15"/>
  <c r="O315" i="14"/>
  <c r="Q214" i="15"/>
  <c r="N35" i="1"/>
  <c r="O386" i="14"/>
  <c r="Q229" i="15"/>
  <c r="O292" i="14"/>
  <c r="O211" i="14"/>
  <c r="N64" i="1"/>
  <c r="O332" i="14"/>
  <c r="R116" i="1"/>
  <c r="J64" i="1"/>
  <c r="R94" i="1"/>
  <c r="O191" i="14"/>
  <c r="P84" i="13"/>
  <c r="Q302" i="15"/>
  <c r="P99" i="13"/>
  <c r="Q109" i="15"/>
  <c r="O160" i="14"/>
  <c r="O288" i="14"/>
  <c r="Q146" i="15"/>
  <c r="N60" i="1"/>
  <c r="N113" i="1"/>
  <c r="J68" i="1"/>
  <c r="O48" i="14"/>
  <c r="O385" i="14"/>
  <c r="J95" i="1"/>
  <c r="Q257" i="15"/>
  <c r="R101" i="1"/>
  <c r="N78" i="1"/>
  <c r="Q75" i="15"/>
  <c r="J144" i="1"/>
  <c r="N74" i="1"/>
  <c r="Q188" i="15"/>
  <c r="N88" i="1"/>
  <c r="Q182" i="15"/>
  <c r="P228" i="13"/>
  <c r="Q119" i="15"/>
  <c r="N116" i="1"/>
  <c r="K122" i="17"/>
  <c r="Q133" i="15"/>
  <c r="R139" i="1"/>
  <c r="Q263" i="15"/>
  <c r="Q114" i="15"/>
  <c r="Q165" i="15"/>
  <c r="J108" i="1"/>
  <c r="Q124" i="15"/>
  <c r="O213" i="14"/>
  <c r="Q64" i="15"/>
  <c r="O398" i="14"/>
  <c r="N96" i="1"/>
  <c r="Q230" i="15"/>
  <c r="O381" i="14"/>
  <c r="Q102" i="15"/>
  <c r="O85" i="14"/>
  <c r="O395" i="14"/>
  <c r="Q110" i="15"/>
  <c r="R51" i="1"/>
  <c r="R136" i="1"/>
  <c r="O64" i="14"/>
  <c r="O14" i="14"/>
  <c r="J85" i="1"/>
  <c r="O215" i="14"/>
  <c r="O373" i="14"/>
  <c r="O227" i="14"/>
  <c r="J112" i="1"/>
  <c r="R48" i="1"/>
  <c r="Q43" i="15"/>
  <c r="Q244" i="15"/>
  <c r="R96" i="1"/>
  <c r="R135" i="1"/>
  <c r="Q19" i="15"/>
  <c r="J94" i="1"/>
  <c r="N111" i="1"/>
  <c r="P118" i="13"/>
  <c r="O166" i="14"/>
  <c r="P131" i="13"/>
  <c r="Q259" i="15"/>
  <c r="J127" i="1"/>
  <c r="P29" i="13"/>
  <c r="N130" i="1"/>
  <c r="P281" i="13"/>
  <c r="J117" i="1"/>
  <c r="Q137" i="15"/>
  <c r="N144" i="1"/>
  <c r="J149" i="1"/>
  <c r="R124" i="1"/>
  <c r="Q305" i="15"/>
  <c r="Q13" i="15"/>
  <c r="R74" i="1"/>
  <c r="P90" i="13"/>
  <c r="O396" i="14"/>
  <c r="O10" i="14"/>
  <c r="Q333" i="15"/>
  <c r="O397" i="14"/>
  <c r="O316" i="14"/>
  <c r="P152" i="13"/>
  <c r="Q58" i="15"/>
  <c r="Q217" i="15"/>
  <c r="Q231" i="15"/>
  <c r="O297" i="14"/>
  <c r="Q150" i="15"/>
  <c r="Q185" i="15"/>
  <c r="N68" i="1"/>
  <c r="R110" i="1"/>
  <c r="O172" i="14"/>
  <c r="R53" i="1"/>
  <c r="Q90" i="15"/>
  <c r="Q190" i="15"/>
  <c r="Q170" i="15"/>
  <c r="O154" i="14"/>
  <c r="N39" i="1"/>
  <c r="O287" i="14"/>
  <c r="J10" i="1"/>
  <c r="Q35" i="15"/>
  <c r="O350" i="14"/>
  <c r="Q84" i="15"/>
  <c r="N142" i="1"/>
  <c r="O173" i="14"/>
  <c r="R148" i="1"/>
  <c r="N94" i="1"/>
  <c r="P244" i="13"/>
  <c r="J74" i="1"/>
  <c r="P141" i="13"/>
  <c r="Q325" i="15"/>
  <c r="Q34" i="15"/>
  <c r="Q20" i="15"/>
  <c r="P178" i="13"/>
  <c r="O352" i="14"/>
  <c r="N138" i="1"/>
  <c r="O372" i="14"/>
  <c r="Q154" i="15"/>
  <c r="R64" i="1"/>
  <c r="Q66" i="15"/>
  <c r="O296" i="14"/>
  <c r="O298" i="14"/>
  <c r="Q145" i="15"/>
  <c r="N105" i="1"/>
  <c r="J148" i="1"/>
  <c r="N131" i="1"/>
  <c r="Q138" i="15"/>
  <c r="Q326" i="15"/>
  <c r="O116" i="14"/>
  <c r="O291" i="14"/>
  <c r="O253" i="14"/>
  <c r="O256" i="14"/>
  <c r="O152" i="14"/>
  <c r="N51" i="1"/>
  <c r="O272" i="14"/>
  <c r="O295" i="14"/>
  <c r="P286" i="13"/>
  <c r="R157" i="1"/>
  <c r="O142" i="14"/>
  <c r="J146" i="1"/>
  <c r="J141" i="1"/>
  <c r="Q252" i="15"/>
  <c r="R97" i="1"/>
  <c r="O161" i="14"/>
  <c r="Q120" i="15"/>
  <c r="O223" i="14"/>
  <c r="Q117" i="15"/>
  <c r="N43" i="1"/>
  <c r="O101" i="14"/>
  <c r="J101" i="1"/>
  <c r="O180" i="14"/>
  <c r="Q85" i="15"/>
  <c r="N149" i="1"/>
  <c r="Q327" i="15"/>
  <c r="Q135" i="15"/>
  <c r="O62" i="14"/>
  <c r="O33" i="14"/>
  <c r="P25" i="13"/>
  <c r="N121" i="1"/>
  <c r="Q131" i="15"/>
  <c r="Q303" i="15"/>
  <c r="N157" i="1"/>
  <c r="N112" i="1"/>
  <c r="P93" i="13"/>
  <c r="Q258" i="15"/>
  <c r="O226" i="14"/>
  <c r="O181" i="14"/>
  <c r="Q147" i="15"/>
  <c r="R145" i="1"/>
  <c r="N155" i="1"/>
  <c r="N125" i="1"/>
  <c r="Q26" i="15"/>
  <c r="O158" i="14"/>
  <c r="K81" i="17"/>
  <c r="Q168" i="15"/>
  <c r="R121" i="1"/>
  <c r="P179" i="13"/>
  <c r="N90" i="1"/>
  <c r="P92" i="13"/>
  <c r="P66" i="13"/>
  <c r="O255" i="14"/>
  <c r="O83" i="14"/>
  <c r="O383" i="14"/>
  <c r="R85" i="1"/>
  <c r="N28" i="1"/>
  <c r="P273" i="13"/>
  <c r="Q91" i="15"/>
  <c r="O15" i="14"/>
  <c r="N148" i="1"/>
  <c r="Q261" i="15"/>
  <c r="P283" i="13"/>
  <c r="Q42" i="15"/>
  <c r="J123" i="1"/>
  <c r="P73" i="13"/>
  <c r="P150" i="13"/>
  <c r="Q227" i="15"/>
  <c r="R117" i="1"/>
  <c r="R26" i="1"/>
  <c r="Q148" i="15"/>
  <c r="Q11" i="15"/>
  <c r="R113" i="1"/>
  <c r="P120" i="13"/>
  <c r="Q60" i="15"/>
  <c r="O183" i="14"/>
  <c r="N137" i="1"/>
  <c r="J116" i="1"/>
  <c r="J106" i="1"/>
  <c r="Q194" i="15"/>
  <c r="P80" i="13"/>
  <c r="O377" i="14"/>
  <c r="Q320" i="15"/>
  <c r="P126" i="13"/>
  <c r="J97" i="1"/>
  <c r="P285" i="13"/>
  <c r="J133" i="1"/>
  <c r="R106" i="1"/>
  <c r="P209" i="13"/>
  <c r="R23" i="1"/>
  <c r="K140" i="17"/>
  <c r="O153" i="14"/>
  <c r="R125" i="1"/>
  <c r="J50" i="1"/>
  <c r="O156" i="14"/>
  <c r="R72" i="1"/>
  <c r="Q281" i="15"/>
  <c r="R11" i="1"/>
  <c r="R79" i="1"/>
  <c r="R131" i="1"/>
  <c r="R150" i="1"/>
  <c r="J75" i="1"/>
  <c r="Q112" i="15"/>
  <c r="Q294" i="15"/>
  <c r="Q301" i="15"/>
  <c r="R95" i="1"/>
  <c r="O225" i="14"/>
  <c r="J157" i="1"/>
  <c r="J90" i="1"/>
  <c r="N134" i="1"/>
  <c r="N97" i="1"/>
  <c r="O134" i="14"/>
  <c r="R87" i="1"/>
  <c r="Q15" i="15"/>
  <c r="Q195" i="15"/>
  <c r="N12" i="1"/>
  <c r="Q205" i="15"/>
  <c r="Q59" i="15"/>
  <c r="O391" i="14"/>
  <c r="Q226" i="15"/>
  <c r="Q253" i="15"/>
  <c r="R128" i="1"/>
  <c r="Q77" i="15"/>
  <c r="N150" i="1"/>
  <c r="N123" i="1"/>
  <c r="R34" i="1"/>
  <c r="R76" i="1"/>
  <c r="R10" i="1"/>
  <c r="O203" i="14"/>
  <c r="J60" i="1"/>
  <c r="K14" i="17"/>
  <c r="N120" i="1"/>
  <c r="Q314" i="15"/>
  <c r="Q220" i="15"/>
  <c r="O368" i="14"/>
  <c r="O257" i="14"/>
  <c r="N133" i="1"/>
  <c r="N48" i="1"/>
  <c r="J152" i="1"/>
  <c r="O404" i="14"/>
  <c r="O371" i="14"/>
  <c r="Q307" i="15"/>
  <c r="Q183" i="15"/>
  <c r="Q149" i="15"/>
  <c r="Q113" i="15"/>
  <c r="Q209" i="15"/>
  <c r="N50" i="1"/>
  <c r="R118" i="1"/>
  <c r="N104" i="1"/>
  <c r="Q111" i="15"/>
  <c r="Q134" i="15"/>
  <c r="O117" i="14"/>
  <c r="Q103" i="15"/>
  <c r="Q216" i="15"/>
  <c r="R73" i="1"/>
  <c r="O294" i="14"/>
  <c r="Q186" i="15"/>
  <c r="J155" i="1"/>
  <c r="J87" i="1"/>
  <c r="Q313" i="15"/>
  <c r="R38" i="1"/>
  <c r="Q306" i="15"/>
  <c r="O262" i="14"/>
  <c r="K86" i="17"/>
  <c r="Q191" i="15"/>
  <c r="O392" i="14"/>
  <c r="O100" i="14"/>
  <c r="O147" i="14"/>
  <c r="K139" i="17"/>
  <c r="O387" i="14"/>
  <c r="Q264" i="15"/>
  <c r="R111" i="1"/>
  <c r="Q284" i="15"/>
  <c r="R123" i="1"/>
  <c r="K84" i="17"/>
  <c r="Q318" i="15"/>
  <c r="N86" i="1"/>
  <c r="O314" i="14"/>
  <c r="O224" i="14"/>
  <c r="Q45" i="15"/>
  <c r="Q105" i="15"/>
  <c r="Q262" i="15"/>
  <c r="F43" i="7"/>
  <c r="U153" i="19" l="1"/>
  <c r="U152" i="19"/>
  <c r="F61" i="7"/>
  <c r="F44" i="7"/>
  <c r="U33" i="19"/>
  <c r="U34" i="19"/>
  <c r="F62" i="7" l="1"/>
  <c r="U156" i="19"/>
  <c r="U126" i="19"/>
  <c r="U32" i="19"/>
  <c r="K117" i="17"/>
  <c r="F63" i="7" l="1"/>
  <c r="I216" i="11"/>
  <c r="K53" i="17"/>
  <c r="O401" i="14"/>
  <c r="P128" i="13"/>
  <c r="P276" i="13"/>
  <c r="P290" i="13"/>
  <c r="O194" i="14"/>
  <c r="O374" i="14"/>
  <c r="Q308" i="15"/>
  <c r="Q167" i="15"/>
  <c r="I274" i="11"/>
  <c r="Q331" i="15"/>
  <c r="I288" i="11"/>
  <c r="F64" i="7" l="1"/>
  <c r="P217" i="13"/>
  <c r="P264" i="13"/>
  <c r="P231" i="13"/>
  <c r="P230" i="13"/>
  <c r="P218" i="13"/>
  <c r="P247" i="13"/>
  <c r="F65" i="7" l="1"/>
  <c r="K47" i="17"/>
  <c r="K118" i="17"/>
  <c r="K119" i="17"/>
  <c r="K78" i="17"/>
  <c r="K77" i="17"/>
  <c r="K48" i="17"/>
  <c r="K19" i="17"/>
  <c r="K18" i="17"/>
  <c r="K11" i="17"/>
  <c r="K12" i="17"/>
  <c r="F66" i="7" l="1"/>
  <c r="I27" i="11"/>
  <c r="I62" i="11"/>
  <c r="I147" i="11"/>
  <c r="I43" i="11"/>
  <c r="I86" i="11"/>
  <c r="I119" i="11"/>
  <c r="I159" i="11"/>
  <c r="I104" i="11"/>
  <c r="I20" i="11"/>
  <c r="I13" i="11"/>
  <c r="I186" i="11"/>
  <c r="F67" i="7" l="1"/>
  <c r="U29" i="19"/>
  <c r="U28" i="19"/>
  <c r="U30" i="19"/>
  <c r="F68" i="7" l="1"/>
  <c r="U27" i="19"/>
  <c r="U106" i="19"/>
  <c r="F69" i="7" l="1"/>
  <c r="F70" i="7" l="1"/>
  <c r="Q48" i="15"/>
  <c r="O66" i="14"/>
  <c r="Q246" i="15"/>
  <c r="F71" i="7" l="1"/>
  <c r="K16" i="17"/>
  <c r="K10" i="17"/>
  <c r="F72" i="7" l="1"/>
  <c r="I114" i="11"/>
  <c r="I53" i="11"/>
  <c r="I97" i="11"/>
  <c r="I207" i="11"/>
  <c r="I175" i="11"/>
  <c r="I260" i="11"/>
  <c r="I257" i="11"/>
  <c r="I79" i="11"/>
  <c r="F73" i="7" l="1"/>
  <c r="N143" i="1"/>
  <c r="J143" i="1"/>
  <c r="R144" i="1"/>
  <c r="K161" i="17"/>
  <c r="K162" i="17"/>
  <c r="F74" i="7" l="1"/>
  <c r="Q141" i="15"/>
  <c r="Q98" i="15"/>
  <c r="Q53" i="15"/>
  <c r="Q81" i="15"/>
  <c r="Q88" i="15"/>
  <c r="F75" i="7" l="1"/>
  <c r="O55" i="14"/>
  <c r="O28" i="14"/>
  <c r="O38" i="14"/>
  <c r="O76" i="14"/>
  <c r="O19" i="14"/>
  <c r="O92" i="14"/>
  <c r="O109" i="14"/>
  <c r="I176" i="11"/>
  <c r="F76" i="7" l="1"/>
  <c r="U115" i="19"/>
  <c r="U113" i="19"/>
  <c r="F77" i="7" l="1"/>
  <c r="R133" i="1"/>
  <c r="Q286" i="15"/>
  <c r="O333" i="14"/>
  <c r="F78" i="7" l="1"/>
  <c r="O102" i="14"/>
  <c r="O104" i="14"/>
  <c r="O137" i="14"/>
  <c r="O68" i="14"/>
  <c r="O103" i="14"/>
  <c r="O136" i="14"/>
  <c r="O121" i="14"/>
  <c r="O119" i="14"/>
  <c r="O86" i="14"/>
  <c r="O69" i="14"/>
  <c r="O120" i="14"/>
  <c r="O87" i="14"/>
  <c r="O135" i="14"/>
  <c r="F79" i="7" l="1"/>
  <c r="Q37" i="15"/>
  <c r="Q78" i="15"/>
  <c r="Q49" i="15"/>
  <c r="Q69" i="15"/>
  <c r="F80" i="7" l="1"/>
  <c r="Q109" i="16"/>
  <c r="Q110" i="16"/>
  <c r="F81" i="7" l="1"/>
  <c r="R9" i="1"/>
  <c r="J9" i="1"/>
  <c r="R56" i="1"/>
  <c r="O12" i="14"/>
  <c r="J12" i="1"/>
  <c r="R12" i="1"/>
  <c r="J17" i="1"/>
  <c r="R32" i="1"/>
  <c r="J19" i="1"/>
  <c r="J14" i="1"/>
  <c r="J24" i="1"/>
  <c r="Q68" i="15"/>
  <c r="R17" i="1"/>
  <c r="R19" i="1"/>
  <c r="R24" i="1"/>
  <c r="R40" i="1"/>
  <c r="Q46" i="15"/>
  <c r="R14" i="1"/>
  <c r="Q56" i="15"/>
  <c r="F82" i="7" l="1"/>
  <c r="O129" i="14"/>
  <c r="O151" i="14"/>
  <c r="Q54" i="15"/>
  <c r="Q280" i="15"/>
  <c r="O80" i="14"/>
  <c r="Q291" i="15"/>
  <c r="Q40" i="15"/>
  <c r="O250" i="14"/>
  <c r="P195" i="13"/>
  <c r="P258" i="13"/>
  <c r="Q241" i="15"/>
  <c r="Q128" i="15"/>
  <c r="Q73" i="15"/>
  <c r="P28" i="13"/>
  <c r="O113" i="14"/>
  <c r="P226" i="13"/>
  <c r="P57" i="13"/>
  <c r="O285" i="14"/>
  <c r="P157" i="13"/>
  <c r="O44" i="14"/>
  <c r="Q63" i="15"/>
  <c r="Q32" i="15"/>
  <c r="P79" i="13"/>
  <c r="Q219" i="15"/>
  <c r="Q212" i="15"/>
  <c r="O170" i="14"/>
  <c r="O59" i="14"/>
  <c r="O313" i="14"/>
  <c r="Q225" i="15"/>
  <c r="O96" i="14"/>
  <c r="P44" i="13"/>
  <c r="Q18" i="15"/>
  <c r="O164" i="14"/>
  <c r="P72" i="13"/>
  <c r="O233" i="14"/>
  <c r="O329" i="14"/>
  <c r="P65" i="13"/>
  <c r="O347" i="14"/>
  <c r="Q25" i="15"/>
  <c r="P115" i="13"/>
  <c r="O271" i="14"/>
  <c r="P165" i="13"/>
  <c r="P205" i="13"/>
  <c r="P83" i="13"/>
  <c r="Q250" i="15"/>
  <c r="Q82" i="15"/>
  <c r="O23" i="14"/>
  <c r="P271" i="13"/>
  <c r="P97" i="13"/>
  <c r="P89" i="13"/>
  <c r="O179" i="14"/>
  <c r="Q116" i="15"/>
  <c r="O239" i="14"/>
  <c r="P24" i="13"/>
  <c r="P36" i="13"/>
  <c r="Q300" i="15"/>
  <c r="O364" i="14"/>
  <c r="P242" i="13"/>
  <c r="Q271" i="15"/>
  <c r="P102" i="13"/>
  <c r="Q99" i="15"/>
  <c r="P176" i="13"/>
  <c r="O31" i="14"/>
  <c r="Q142" i="15"/>
  <c r="O141" i="14"/>
  <c r="F83" i="7" l="1"/>
  <c r="K98" i="17"/>
  <c r="K63" i="17"/>
  <c r="K69" i="17"/>
  <c r="K42" i="17"/>
  <c r="K74" i="17"/>
  <c r="K80" i="17"/>
  <c r="K56" i="17"/>
  <c r="F84" i="7" l="1"/>
  <c r="U114" i="19" s="1"/>
  <c r="O336" i="14"/>
  <c r="R130" i="1"/>
  <c r="O303" i="14"/>
  <c r="O355" i="14"/>
  <c r="O320" i="14"/>
  <c r="R134" i="1"/>
  <c r="R127" i="1"/>
  <c r="R137" i="1"/>
  <c r="O319" i="14"/>
  <c r="O337" i="14"/>
  <c r="F85" i="7" l="1"/>
  <c r="Q36" i="16"/>
  <c r="N45" i="1"/>
  <c r="N24" i="1"/>
  <c r="P50" i="13"/>
  <c r="F86" i="7" l="1"/>
  <c r="I179" i="11"/>
  <c r="I56" i="11"/>
  <c r="I81" i="11"/>
  <c r="F87" i="7" l="1"/>
  <c r="O27" i="14"/>
  <c r="P26" i="13"/>
  <c r="O65" i="14"/>
  <c r="P47" i="13"/>
  <c r="O50" i="14"/>
  <c r="P38" i="13"/>
  <c r="O16" i="14"/>
  <c r="P18" i="13"/>
  <c r="P30" i="13"/>
  <c r="F88" i="7" l="1"/>
  <c r="I156" i="11"/>
  <c r="I182" i="11"/>
  <c r="I116" i="11"/>
  <c r="I171" i="11"/>
  <c r="I100" i="11"/>
  <c r="I40" i="11"/>
  <c r="I129" i="11"/>
  <c r="I83" i="11"/>
  <c r="I25" i="11"/>
  <c r="F89" i="7" l="1"/>
  <c r="I95" i="11"/>
  <c r="I113" i="11"/>
  <c r="I51" i="11"/>
  <c r="I204" i="11"/>
  <c r="I35" i="11"/>
  <c r="I244" i="11"/>
  <c r="I77" i="11"/>
  <c r="U65" i="19"/>
  <c r="F90" i="7" l="1"/>
  <c r="U61" i="19"/>
  <c r="U66" i="19"/>
  <c r="F91" i="7" l="1"/>
  <c r="P246" i="13"/>
  <c r="O317" i="14"/>
  <c r="O245" i="14"/>
  <c r="O276" i="14"/>
  <c r="P229" i="13"/>
  <c r="O301" i="14"/>
  <c r="P214" i="13"/>
  <c r="O353" i="14"/>
  <c r="O264" i="14"/>
  <c r="O334" i="14"/>
  <c r="P51" i="13"/>
  <c r="F92" i="7" l="1"/>
  <c r="U154" i="19"/>
  <c r="F93" i="7" l="1"/>
  <c r="I269" i="11"/>
  <c r="Q287" i="15"/>
  <c r="F94" i="7" l="1"/>
  <c r="I266" i="11"/>
  <c r="I268" i="11"/>
  <c r="Q267" i="15"/>
  <c r="Q276" i="15"/>
  <c r="I271" i="11"/>
  <c r="Q296" i="15"/>
  <c r="F95" i="7" l="1"/>
  <c r="U112" i="19"/>
  <c r="F96" i="7" l="1"/>
  <c r="U98" i="19"/>
  <c r="U99" i="19"/>
  <c r="U97" i="19"/>
  <c r="F97" i="7" l="1"/>
  <c r="U51" i="19"/>
  <c r="U68" i="19"/>
  <c r="U45" i="19"/>
  <c r="U88" i="19"/>
  <c r="U67" i="19"/>
  <c r="U89" i="19"/>
  <c r="U50" i="19"/>
  <c r="F98" i="7" l="1"/>
  <c r="U81" i="19"/>
  <c r="U145" i="19"/>
  <c r="U144" i="19"/>
  <c r="U146" i="19"/>
  <c r="U140" i="19"/>
  <c r="U141" i="19"/>
  <c r="U143" i="19"/>
  <c r="U142" i="19"/>
  <c r="U148" i="19"/>
  <c r="U147" i="19"/>
  <c r="F99" i="7" l="1"/>
  <c r="Q25" i="16"/>
  <c r="K45" i="17"/>
  <c r="F100" i="7" l="1"/>
  <c r="Q37" i="16"/>
  <c r="Q44" i="16"/>
  <c r="Q19" i="16"/>
  <c r="Q27" i="16"/>
  <c r="U56" i="19"/>
  <c r="F102" i="7" l="1"/>
  <c r="U57" i="19"/>
  <c r="F103" i="7" l="1"/>
  <c r="I149" i="11"/>
  <c r="I192" i="11"/>
  <c r="I67" i="11"/>
  <c r="F104" i="7" l="1"/>
  <c r="K15" i="17"/>
  <c r="K13" i="17"/>
  <c r="K30" i="17"/>
  <c r="K17" i="17"/>
  <c r="K64" i="17"/>
  <c r="K75" i="17"/>
  <c r="K24" i="17"/>
  <c r="K70" i="17"/>
  <c r="F105" i="7" l="1"/>
  <c r="I134" i="11"/>
  <c r="I172" i="11"/>
  <c r="I88" i="11"/>
  <c r="I238" i="11"/>
  <c r="I121" i="11"/>
  <c r="I68" i="11"/>
  <c r="I137" i="11"/>
  <c r="I45" i="11"/>
  <c r="I193" i="11"/>
  <c r="I161" i="11"/>
  <c r="I194" i="11"/>
  <c r="I106" i="11"/>
  <c r="F106" i="7" l="1"/>
  <c r="I203" i="11"/>
  <c r="I174" i="11"/>
  <c r="I227" i="11"/>
  <c r="I169" i="11"/>
  <c r="I76" i="11"/>
  <c r="I127" i="11"/>
  <c r="I111" i="11"/>
  <c r="I94" i="11"/>
  <c r="I49" i="11"/>
  <c r="I243" i="11"/>
  <c r="F108" i="7" l="1"/>
  <c r="F107" i="7"/>
  <c r="I14" i="11"/>
  <c r="I150" i="11"/>
  <c r="I239" i="11"/>
  <c r="I173" i="11"/>
  <c r="I164" i="11"/>
  <c r="I91" i="11"/>
  <c r="I225" i="11"/>
  <c r="I108" i="11"/>
  <c r="I72" i="11"/>
  <c r="I30" i="11"/>
  <c r="I46" i="11"/>
  <c r="I21" i="11"/>
  <c r="I199" i="11"/>
  <c r="I123" i="11"/>
  <c r="F114" i="7" l="1"/>
  <c r="I9" i="11"/>
  <c r="I8" i="11"/>
  <c r="I10" i="11"/>
  <c r="F109" i="7"/>
  <c r="I168" i="11"/>
  <c r="I33" i="11"/>
  <c r="I153" i="11"/>
  <c r="I17" i="11"/>
  <c r="I201" i="11"/>
  <c r="F115" i="7" l="1"/>
  <c r="F110" i="7"/>
  <c r="I158" i="11"/>
  <c r="I223" i="11"/>
  <c r="I60" i="11"/>
  <c r="I262" i="11"/>
  <c r="I258" i="11"/>
  <c r="I103" i="11"/>
  <c r="I183" i="11"/>
  <c r="I117" i="11"/>
  <c r="I131" i="11"/>
  <c r="F116" i="7" l="1"/>
  <c r="U169" i="19" s="1"/>
  <c r="U171" i="19"/>
  <c r="U170" i="19"/>
  <c r="F111" i="7"/>
  <c r="I107" i="11"/>
  <c r="I162" i="11"/>
  <c r="I263" i="11"/>
  <c r="I69" i="11"/>
  <c r="I122" i="11"/>
  <c r="I195" i="11"/>
  <c r="I89" i="11"/>
  <c r="I247" i="11"/>
  <c r="I224" i="11"/>
  <c r="I259" i="11"/>
  <c r="U163" i="19"/>
  <c r="F117" i="7" l="1"/>
  <c r="F112" i="7"/>
  <c r="I125" i="11"/>
  <c r="I241" i="11"/>
  <c r="I48" i="11"/>
  <c r="I32" i="11"/>
  <c r="I73" i="11"/>
  <c r="I151" i="11"/>
  <c r="I166" i="11"/>
  <c r="I139" i="11"/>
  <c r="I23" i="11"/>
  <c r="I92" i="11"/>
  <c r="I200" i="11"/>
  <c r="I110" i="11"/>
  <c r="I135" i="11"/>
  <c r="I15" i="11"/>
  <c r="F118" i="7" l="1"/>
  <c r="F113" i="7"/>
  <c r="P101" i="13"/>
  <c r="P95" i="13"/>
  <c r="P82" i="13"/>
  <c r="P88" i="13"/>
  <c r="F119" i="7" l="1"/>
  <c r="R61" i="1"/>
  <c r="J62" i="1"/>
  <c r="Q129" i="15"/>
  <c r="O171" i="14"/>
  <c r="U96" i="19"/>
  <c r="F120" i="7" l="1"/>
  <c r="P220" i="13"/>
  <c r="P250" i="13"/>
  <c r="P76" i="13"/>
  <c r="P234" i="13"/>
  <c r="P108" i="13"/>
  <c r="P235" i="13"/>
  <c r="P41" i="13"/>
  <c r="P70" i="13"/>
  <c r="P69" i="13"/>
  <c r="P42" i="13"/>
  <c r="P77" i="13"/>
  <c r="P251" i="13"/>
  <c r="P33" i="13"/>
  <c r="P219" i="13"/>
  <c r="P63" i="13"/>
  <c r="P107" i="13"/>
  <c r="P34" i="13"/>
  <c r="P62" i="13"/>
  <c r="F121" i="7" l="1"/>
  <c r="P188" i="13"/>
  <c r="P210" i="13"/>
  <c r="P109" i="13"/>
  <c r="P145" i="13"/>
  <c r="F122" i="7" l="1"/>
  <c r="U76" i="19"/>
  <c r="U47" i="19"/>
  <c r="U69" i="19"/>
  <c r="U40" i="19"/>
  <c r="U83" i="19"/>
  <c r="U149" i="19"/>
  <c r="U70" i="19"/>
  <c r="F123" i="7" l="1"/>
  <c r="U159" i="19"/>
  <c r="U158" i="19"/>
  <c r="U157" i="19"/>
  <c r="U160" i="19"/>
  <c r="U155" i="19"/>
  <c r="F124" i="7" l="1"/>
  <c r="U168" i="19"/>
  <c r="F125" i="7" l="1"/>
  <c r="P11" i="13"/>
  <c r="P12" i="13"/>
  <c r="P13" i="13"/>
  <c r="P14" i="13"/>
  <c r="P15" i="13"/>
  <c r="P17" i="13"/>
  <c r="F126" i="7" l="1"/>
  <c r="K9" i="17"/>
  <c r="P10" i="13"/>
  <c r="O13" i="14"/>
  <c r="O43" i="14"/>
  <c r="O41" i="14"/>
  <c r="R20" i="1"/>
  <c r="O42" i="14"/>
  <c r="O390" i="14"/>
  <c r="O389" i="14"/>
  <c r="F127" i="7" l="1"/>
  <c r="Q22" i="16"/>
  <c r="N30" i="1"/>
  <c r="Q24" i="16"/>
  <c r="Q23" i="16"/>
  <c r="F128" i="7" l="1"/>
  <c r="O277" i="14"/>
  <c r="O265" i="14"/>
  <c r="F129" i="7" l="1"/>
  <c r="N56" i="1"/>
  <c r="N53" i="1"/>
  <c r="R45" i="1"/>
  <c r="F130" i="7" l="1"/>
  <c r="Q58" i="16"/>
  <c r="Q61" i="16"/>
  <c r="Q66" i="16"/>
  <c r="Q105" i="16"/>
  <c r="F131" i="7" l="1"/>
  <c r="O51" i="14"/>
  <c r="J15" i="1"/>
  <c r="O18" i="14"/>
  <c r="O17" i="14"/>
  <c r="F132" i="7" l="1"/>
  <c r="K82" i="17"/>
  <c r="K36" i="17"/>
  <c r="K65" i="17"/>
  <c r="K97" i="17"/>
  <c r="K25" i="17"/>
  <c r="K136" i="17"/>
  <c r="K106" i="17"/>
  <c r="K76" i="17"/>
  <c r="K46" i="17"/>
  <c r="K87" i="17"/>
  <c r="K31" i="17"/>
  <c r="K129" i="17"/>
  <c r="K92" i="17"/>
  <c r="K57" i="17"/>
  <c r="K71" i="17"/>
  <c r="F133" i="7" l="1"/>
  <c r="O335" i="14"/>
  <c r="O302" i="14"/>
  <c r="O354" i="14"/>
  <c r="O318" i="14"/>
  <c r="Q179" i="15" l="1"/>
  <c r="O186" i="14"/>
  <c r="Q163" i="15"/>
  <c r="P183" i="13"/>
  <c r="Q203" i="15"/>
  <c r="P134" i="13"/>
  <c r="O190" i="14"/>
  <c r="O201" i="14"/>
  <c r="Q159" i="15"/>
  <c r="P137" i="13"/>
  <c r="O206" i="14"/>
  <c r="P125" i="13"/>
  <c r="O260" i="14"/>
  <c r="P123" i="13"/>
  <c r="Q234" i="15"/>
  <c r="Q206" i="15"/>
  <c r="Q178" i="15"/>
  <c r="O205" i="14"/>
  <c r="P136" i="13"/>
  <c r="Q174" i="15"/>
  <c r="F134" i="7"/>
  <c r="U91" i="19"/>
  <c r="U92" i="19"/>
  <c r="F135" i="7" l="1"/>
  <c r="N128" i="1"/>
  <c r="O163" i="14"/>
  <c r="Q127" i="15"/>
  <c r="I267" i="11"/>
  <c r="O312" i="14"/>
  <c r="R129" i="1"/>
  <c r="F136" i="7" l="1"/>
  <c r="Q34" i="16"/>
  <c r="Q48" i="16"/>
  <c r="Q32" i="16"/>
  <c r="Q43" i="16"/>
  <c r="Q33" i="16"/>
  <c r="Q42" i="16"/>
  <c r="Q47" i="16"/>
  <c r="Q49" i="16"/>
  <c r="Q41" i="16"/>
  <c r="F138" i="7" l="1"/>
  <c r="K38" i="17"/>
  <c r="K33" i="17"/>
  <c r="K72" i="17"/>
  <c r="K59" i="17"/>
  <c r="K94" i="17"/>
  <c r="K89" i="17"/>
  <c r="K21" i="17"/>
  <c r="K52" i="17"/>
  <c r="K66" i="17"/>
  <c r="K101" i="17"/>
  <c r="F139" i="7" l="1"/>
  <c r="U109" i="19"/>
  <c r="U108" i="19"/>
  <c r="F140" i="7" l="1"/>
  <c r="P114" i="13"/>
  <c r="P100" i="13"/>
  <c r="O22" i="14"/>
  <c r="K88" i="17"/>
  <c r="P78" i="13"/>
  <c r="Q224" i="15"/>
  <c r="K93" i="17"/>
  <c r="K51" i="17"/>
  <c r="P87" i="13"/>
  <c r="O270" i="14"/>
  <c r="P23" i="13"/>
  <c r="O328" i="14"/>
  <c r="O249" i="14"/>
  <c r="P71" i="13"/>
  <c r="O282" i="14"/>
  <c r="P203" i="13"/>
  <c r="O208" i="14"/>
  <c r="Q235" i="15"/>
  <c r="Q184" i="15"/>
  <c r="Q181" i="15"/>
  <c r="K26" i="17"/>
  <c r="O214" i="14"/>
  <c r="O93" i="14"/>
  <c r="O40" i="14"/>
  <c r="O30" i="14"/>
  <c r="O146" i="14"/>
  <c r="O193" i="14"/>
  <c r="P139" i="13"/>
  <c r="P193" i="13"/>
  <c r="P184" i="13"/>
  <c r="P35" i="13"/>
  <c r="O79" i="14"/>
  <c r="O178" i="14"/>
  <c r="Q299" i="15"/>
  <c r="O126" i="14"/>
  <c r="Q279" i="15"/>
  <c r="O261" i="14"/>
  <c r="O58" i="14"/>
  <c r="Q115" i="15"/>
  <c r="K107" i="17"/>
  <c r="O162" i="14"/>
  <c r="Q218" i="15"/>
  <c r="Q193" i="15"/>
  <c r="P96" i="13"/>
  <c r="O210" i="14"/>
  <c r="Q152" i="15"/>
  <c r="Q166" i="15"/>
  <c r="O182" i="14"/>
  <c r="Q270" i="15"/>
  <c r="Q80" i="15"/>
  <c r="O169" i="14"/>
  <c r="P163" i="13"/>
  <c r="Q249" i="15"/>
  <c r="P174" i="13"/>
  <c r="O110" i="14"/>
  <c r="Q189" i="15"/>
  <c r="Q330" i="15"/>
  <c r="O150" i="14"/>
  <c r="P43" i="13"/>
  <c r="O232" i="14"/>
  <c r="O238" i="14"/>
  <c r="Q72" i="15"/>
  <c r="P64" i="13"/>
  <c r="P56" i="13"/>
  <c r="P149" i="13"/>
  <c r="O212" i="14"/>
  <c r="Q24" i="15"/>
  <c r="Q39" i="15"/>
  <c r="O311" i="14"/>
  <c r="Q94" i="15"/>
  <c r="Q240" i="15"/>
  <c r="Q52" i="15"/>
  <c r="Q126" i="15"/>
  <c r="Q87" i="15"/>
  <c r="Q211" i="15"/>
  <c r="K100" i="17"/>
  <c r="O363" i="14"/>
  <c r="Q31" i="15"/>
  <c r="O346" i="14"/>
  <c r="P146" i="13"/>
  <c r="P85" i="13"/>
  <c r="K37" i="17"/>
  <c r="K58" i="17"/>
  <c r="Q62" i="15"/>
  <c r="O140" i="14"/>
  <c r="P81" i="13"/>
  <c r="K32" i="17"/>
  <c r="Q140" i="15"/>
  <c r="Q290" i="15"/>
  <c r="P127" i="13"/>
  <c r="P156" i="13"/>
  <c r="Q17" i="15"/>
  <c r="P289" i="13"/>
  <c r="P119" i="13"/>
  <c r="Q97" i="15"/>
  <c r="O400" i="14"/>
  <c r="P27" i="13"/>
  <c r="P142" i="13"/>
  <c r="K20" i="17"/>
  <c r="I205" i="11"/>
  <c r="F141" i="7" l="1"/>
  <c r="I229" i="11"/>
  <c r="I198" i="11"/>
  <c r="I240" i="11"/>
  <c r="I124" i="11"/>
  <c r="I109" i="11"/>
  <c r="I226" i="11"/>
  <c r="I165" i="11"/>
  <c r="I22" i="11"/>
  <c r="I208" i="11"/>
  <c r="I31" i="11"/>
  <c r="I90" i="11"/>
  <c r="I71" i="11"/>
  <c r="I47" i="11"/>
  <c r="F142" i="7" l="1"/>
  <c r="P240" i="13"/>
  <c r="P269" i="13"/>
  <c r="P256" i="13"/>
  <c r="P225" i="13"/>
  <c r="F143" i="7" l="1"/>
  <c r="I74" i="11"/>
  <c r="F144" i="7" l="1"/>
  <c r="P58" i="13"/>
  <c r="K158" i="17"/>
  <c r="P206" i="13"/>
  <c r="I70" i="11"/>
  <c r="K174" i="17"/>
  <c r="K173" i="17"/>
  <c r="P129" i="13"/>
  <c r="I254" i="11"/>
  <c r="P130" i="13"/>
  <c r="K172" i="17"/>
  <c r="I285" i="11"/>
  <c r="P116" i="13"/>
  <c r="I284" i="11"/>
  <c r="K159" i="17"/>
  <c r="K102" i="17"/>
  <c r="P277" i="13"/>
  <c r="P278" i="13"/>
  <c r="P259" i="13"/>
  <c r="I196" i="11"/>
  <c r="I275" i="11"/>
  <c r="I270" i="11"/>
  <c r="K160" i="17"/>
  <c r="F145" i="7" l="1"/>
  <c r="P194" i="13"/>
  <c r="P175" i="13"/>
  <c r="P164" i="13"/>
  <c r="P241" i="13"/>
  <c r="P257" i="13"/>
  <c r="P204" i="13"/>
  <c r="P270" i="13"/>
  <c r="F146" i="7" l="1"/>
  <c r="U25" i="19"/>
  <c r="U100" i="19"/>
  <c r="U101" i="19"/>
  <c r="F147" i="7" l="1"/>
  <c r="I279" i="11"/>
  <c r="I278" i="11"/>
  <c r="I277" i="11"/>
  <c r="F148" i="7" l="1"/>
  <c r="Q26" i="16"/>
  <c r="Q63" i="16"/>
  <c r="F149" i="7" l="1"/>
  <c r="U105" i="19"/>
  <c r="U103" i="19"/>
  <c r="U104" i="19"/>
  <c r="F150" i="7" l="1"/>
  <c r="U48" i="19"/>
  <c r="U49" i="19"/>
  <c r="F151" i="7" l="1"/>
  <c r="P201" i="13"/>
  <c r="P21" i="13"/>
  <c r="P222" i="13"/>
  <c r="P237" i="13"/>
  <c r="P255" i="13"/>
  <c r="P110" i="13"/>
  <c r="P112" i="13"/>
  <c r="P199" i="13"/>
  <c r="P238" i="13"/>
  <c r="P253" i="13"/>
  <c r="P20" i="13"/>
  <c r="P254" i="13"/>
  <c r="P55" i="13"/>
  <c r="P111" i="13"/>
  <c r="P52" i="13"/>
  <c r="P54" i="13"/>
  <c r="P200" i="13"/>
  <c r="P202" i="13"/>
  <c r="P223" i="13"/>
  <c r="P113" i="13"/>
  <c r="P236" i="13"/>
  <c r="P160" i="13"/>
  <c r="P22" i="13"/>
  <c r="P221" i="13"/>
  <c r="P159" i="13"/>
  <c r="P267" i="13"/>
  <c r="P224" i="13"/>
  <c r="P189" i="13"/>
  <c r="P171" i="13"/>
  <c r="P265" i="13"/>
  <c r="P190" i="13"/>
  <c r="P53" i="13"/>
  <c r="P266" i="13"/>
  <c r="P239" i="13"/>
  <c r="P170" i="13"/>
  <c r="P192" i="13"/>
  <c r="P172" i="13"/>
  <c r="P252" i="13"/>
  <c r="P161" i="13"/>
  <c r="P19" i="13"/>
  <c r="P162" i="13"/>
  <c r="P173" i="13"/>
  <c r="P191" i="13"/>
  <c r="P268" i="13"/>
  <c r="F152" i="7" l="1"/>
  <c r="I58" i="11"/>
  <c r="I19" i="11"/>
  <c r="I130" i="11"/>
  <c r="I41" i="11"/>
  <c r="I12" i="11"/>
  <c r="I184" i="11"/>
  <c r="I84" i="11"/>
  <c r="I102" i="11"/>
  <c r="I118" i="11"/>
  <c r="I26" i="11"/>
  <c r="F153" i="7" l="1"/>
  <c r="U107" i="19"/>
  <c r="U151" i="19"/>
  <c r="U94" i="19"/>
  <c r="U26" i="19"/>
  <c r="F154" i="7" l="1"/>
  <c r="U93" i="19"/>
  <c r="F155" i="7" l="1"/>
  <c r="U52" i="19"/>
  <c r="U55" i="19"/>
  <c r="U87" i="19"/>
  <c r="U41" i="19"/>
  <c r="U80" i="19"/>
  <c r="U71" i="19"/>
  <c r="U54" i="19"/>
  <c r="U85" i="19"/>
  <c r="U74" i="19"/>
  <c r="U72" i="19"/>
  <c r="U42" i="19"/>
  <c r="U78" i="19"/>
  <c r="U44" i="19"/>
  <c r="U53" i="19"/>
  <c r="U84" i="19"/>
  <c r="U86" i="19"/>
  <c r="U43" i="19"/>
  <c r="U79" i="19"/>
  <c r="U77" i="19"/>
  <c r="U73" i="19"/>
  <c r="F156" i="7" l="1"/>
  <c r="U120" i="19"/>
  <c r="U119" i="19"/>
  <c r="F158" i="7" l="1"/>
  <c r="F157" i="7"/>
  <c r="O348" i="14"/>
  <c r="N40" i="1"/>
  <c r="N139" i="1"/>
  <c r="O45" i="14"/>
  <c r="O378" i="14"/>
  <c r="O46" i="14"/>
  <c r="O131" i="14"/>
  <c r="O130" i="14"/>
  <c r="O349" i="14"/>
  <c r="O61" i="14"/>
  <c r="N19" i="1"/>
  <c r="O60" i="14"/>
  <c r="N36" i="1"/>
  <c r="N32" i="1"/>
  <c r="N135" i="1"/>
  <c r="N17" i="1"/>
  <c r="N25" i="1"/>
  <c r="O81" i="14"/>
  <c r="O82" i="14"/>
  <c r="O115" i="14"/>
  <c r="O98" i="14"/>
  <c r="N46" i="1"/>
  <c r="O114" i="14"/>
  <c r="O365" i="14"/>
  <c r="O97" i="14"/>
  <c r="O366" i="14"/>
  <c r="U95" i="19"/>
  <c r="I101" i="11" l="1"/>
  <c r="I85" i="11"/>
  <c r="I42" i="11"/>
  <c r="I132" i="11"/>
  <c r="I59" i="11"/>
  <c r="I157" i="11"/>
  <c r="I146" i="11"/>
  <c r="I185" i="11"/>
  <c r="I18" i="11"/>
  <c r="K183" i="13"/>
  <c r="G183" i="13" s="1"/>
  <c r="H183" i="13" s="1"/>
  <c r="L183" i="13"/>
  <c r="I183" i="13" l="1"/>
  <c r="J183" i="13" s="1"/>
</calcChain>
</file>

<file path=xl/sharedStrings.xml><?xml version="1.0" encoding="utf-8"?>
<sst xmlns="http://schemas.openxmlformats.org/spreadsheetml/2006/main" count="12298" uniqueCount="1623">
  <si>
    <t>ITRC PFAS Physical and Chemical Properties Table 4-1 Excel File</t>
  </si>
  <si>
    <t>This workbook includes the PFAS Physical and Chemical Properties table and is part of the ITRC PFAS Technical and Regulatory Guidance Document. The ITRC intends to update this spreadsheet periodically as new  information is gathered. The user is encouraged to visit the ITRC PFAS web page to access the current version of this file:</t>
  </si>
  <si>
    <t>https://pfas-1.itrcweb.org</t>
  </si>
  <si>
    <r>
      <t xml:space="preserve">Users who identify updates to the material in this table are encouraged to send that information to </t>
    </r>
    <r>
      <rPr>
        <b/>
        <u/>
        <sz val="14"/>
        <color rgb="FF0070C0"/>
        <rFont val="Calibri"/>
        <family val="2"/>
        <scheme val="minor"/>
      </rPr>
      <t>itrc@itrcweb.org</t>
    </r>
  </si>
  <si>
    <t>See ITRC Disclaimer</t>
  </si>
  <si>
    <t>http://pfas-1.itrcweb.org/about-itrc/#disclaimer</t>
  </si>
  <si>
    <t>August 2025</t>
  </si>
  <si>
    <t xml:space="preserve">This Main Table belongs with the ITRC PFAS Technical and Regulatory Guidance Document. The ITRC intends to update this table periodically as new information is gathered. The user is encouraged to visit the ITRC PFAS web page (http://pfas-1.itrcweb.org) to access the current version of this file. Please See ITRC Disclaimer http://pfas-1.itrcweb.org/about-itrc/#disclaimer                     </t>
  </si>
  <si>
    <t>Physical and Chemical Property Values for Select PFAS</t>
  </si>
  <si>
    <t>PFAS Name (§)</t>
  </si>
  <si>
    <t>Acronym</t>
  </si>
  <si>
    <t>Avg. Mol. Wt. (g/mol)</t>
  </si>
  <si>
    <t>Molecular Formula</t>
  </si>
  <si>
    <t>CAS No.</t>
  </si>
  <si>
    <r>
      <t>Density (g/cm</t>
    </r>
    <r>
      <rPr>
        <b/>
        <vertAlign val="superscript"/>
        <sz val="14"/>
        <color theme="1"/>
        <rFont val="Calibri"/>
        <family val="2"/>
      </rPr>
      <t>3</t>
    </r>
    <r>
      <rPr>
        <b/>
        <sz val="14"/>
        <color theme="1"/>
        <rFont val="Calibri"/>
        <family val="2"/>
      </rPr>
      <t>)</t>
    </r>
  </si>
  <si>
    <r>
      <t>Melting Point (T</t>
    </r>
    <r>
      <rPr>
        <b/>
        <vertAlign val="subscript"/>
        <sz val="14"/>
        <color theme="1"/>
        <rFont val="Calibri"/>
        <family val="2"/>
      </rPr>
      <t>m</t>
    </r>
    <r>
      <rPr>
        <b/>
        <sz val="14"/>
        <color theme="1"/>
        <rFont val="Calibri"/>
        <family val="2"/>
      </rPr>
      <t xml:space="preserve">, </t>
    </r>
    <r>
      <rPr>
        <b/>
        <vertAlign val="superscript"/>
        <sz val="14"/>
        <color theme="1"/>
        <rFont val="Calibri"/>
        <family val="2"/>
      </rPr>
      <t>o</t>
    </r>
    <r>
      <rPr>
        <b/>
        <sz val="14"/>
        <color theme="1"/>
        <rFont val="Calibri"/>
        <family val="2"/>
      </rPr>
      <t>C)</t>
    </r>
  </si>
  <si>
    <r>
      <t>Boiling Point (T</t>
    </r>
    <r>
      <rPr>
        <b/>
        <vertAlign val="subscript"/>
        <sz val="14"/>
        <color theme="1"/>
        <rFont val="Calibri"/>
        <family val="2"/>
      </rPr>
      <t>b</t>
    </r>
    <r>
      <rPr>
        <b/>
        <sz val="14"/>
        <color theme="1"/>
        <rFont val="Calibri"/>
        <family val="2"/>
      </rPr>
      <t xml:space="preserve">, </t>
    </r>
    <r>
      <rPr>
        <b/>
        <vertAlign val="superscript"/>
        <sz val="14"/>
        <color theme="1"/>
        <rFont val="Calibri"/>
        <family val="2"/>
      </rPr>
      <t>o</t>
    </r>
    <r>
      <rPr>
        <b/>
        <sz val="14"/>
        <color theme="1"/>
        <rFont val="Calibri"/>
        <family val="2"/>
      </rPr>
      <t>C)</t>
    </r>
  </si>
  <si>
    <t>Reported Value</t>
  </si>
  <si>
    <t xml:space="preserve">Type </t>
  </si>
  <si>
    <r>
      <t>T (</t>
    </r>
    <r>
      <rPr>
        <b/>
        <vertAlign val="superscript"/>
        <sz val="14"/>
        <color theme="1"/>
        <rFont val="Calibri"/>
        <family val="2"/>
        <scheme val="minor"/>
      </rPr>
      <t>o</t>
    </r>
    <r>
      <rPr>
        <b/>
        <sz val="14"/>
        <color theme="1"/>
        <rFont val="Calibri"/>
        <family val="2"/>
        <scheme val="minor"/>
      </rPr>
      <t>C)</t>
    </r>
  </si>
  <si>
    <r>
      <t>Reference</t>
    </r>
    <r>
      <rPr>
        <b/>
        <vertAlign val="superscript"/>
        <sz val="14"/>
        <rFont val="Calibri"/>
        <family val="2"/>
        <scheme val="minor"/>
      </rPr>
      <t>a</t>
    </r>
  </si>
  <si>
    <r>
      <t>Reference No.</t>
    </r>
    <r>
      <rPr>
        <b/>
        <vertAlign val="superscript"/>
        <sz val="14"/>
        <rFont val="Calibri"/>
        <family val="2"/>
        <scheme val="minor"/>
      </rPr>
      <t>a</t>
    </r>
  </si>
  <si>
    <t>Perfluorocarboxylic Acids</t>
  </si>
  <si>
    <t>PFCAs</t>
  </si>
  <si>
    <t xml:space="preserve">Trifluoroacetic acid </t>
  </si>
  <si>
    <t>TFA</t>
  </si>
  <si>
    <t>76-05-1</t>
  </si>
  <si>
    <t>E</t>
  </si>
  <si>
    <t>Kauck and Diesslin, 1951</t>
  </si>
  <si>
    <t>-24.0 - -14.0</t>
  </si>
  <si>
    <t>M</t>
  </si>
  <si>
    <t>EPA Comptox Dashboard</t>
  </si>
  <si>
    <t>1.48-1.57</t>
  </si>
  <si>
    <t>NR</t>
  </si>
  <si>
    <t>-15.9 - -15.0</t>
  </si>
  <si>
    <t>72.2 - 106</t>
  </si>
  <si>
    <t>72.0 - 73.0</t>
  </si>
  <si>
    <t xml:space="preserve">Perfluoropropanoic acid </t>
  </si>
  <si>
    <t>PFPrA</t>
  </si>
  <si>
    <t>422-64-0</t>
  </si>
  <si>
    <t>93.5-97.0</t>
  </si>
  <si>
    <t>Perfluorobutanoic acid</t>
  </si>
  <si>
    <t>PFBA</t>
  </si>
  <si>
    <t>375-22-4</t>
  </si>
  <si>
    <t xml:space="preserve">-17.5 </t>
  </si>
  <si>
    <t>ATSDR, 2021</t>
  </si>
  <si>
    <t>Steele et al., 2002a</t>
  </si>
  <si>
    <t>3M Company, 2021</t>
  </si>
  <si>
    <t>1.641-1.649</t>
  </si>
  <si>
    <t>20/NR</t>
  </si>
  <si>
    <t>117.5-121.8</t>
  </si>
  <si>
    <t>Perfluoropentanoic acid</t>
  </si>
  <si>
    <t>PFPeA</t>
  </si>
  <si>
    <t>2706-90-3</t>
  </si>
  <si>
    <t>-13.2 - -5.9</t>
  </si>
  <si>
    <t>Zhang et al., 2020</t>
  </si>
  <si>
    <t xml:space="preserve">6.98-25.3 </t>
  </si>
  <si>
    <t>Perfluorohexanoic acid</t>
  </si>
  <si>
    <t>PFHxA</t>
  </si>
  <si>
    <t>307-24-4</t>
  </si>
  <si>
    <t>7.8-14.8</t>
  </si>
  <si>
    <t>12-14</t>
  </si>
  <si>
    <t>Schindler et al., 2013</t>
  </si>
  <si>
    <t>10-14</t>
  </si>
  <si>
    <t xml:space="preserve">11.6-23.1 </t>
  </si>
  <si>
    <t>143-168</t>
  </si>
  <si>
    <t>Perfluoroheptanoic acid</t>
  </si>
  <si>
    <t>PFHpA</t>
  </si>
  <si>
    <t>375-85-9</t>
  </si>
  <si>
    <t xml:space="preserve">24-30 </t>
  </si>
  <si>
    <t>Kuneida and Shinoda, 1976</t>
  </si>
  <si>
    <t>1.68-1.74</t>
  </si>
  <si>
    <t>19.1-32.8</t>
  </si>
  <si>
    <t>24-30</t>
  </si>
  <si>
    <t>176-185</t>
  </si>
  <si>
    <t>27-54</t>
  </si>
  <si>
    <t>-0.077-35.3</t>
  </si>
  <si>
    <t xml:space="preserve">Perfluorooctanoic acid </t>
  </si>
  <si>
    <t>PFOA</t>
  </si>
  <si>
    <t>335-67-1</t>
  </si>
  <si>
    <t xml:space="preserve">56.4-57.9 </t>
  </si>
  <si>
    <t>Shinoda, Hato, and Hayashi, 1972</t>
  </si>
  <si>
    <t>3M Company, 2003</t>
  </si>
  <si>
    <t>44.8-52.3</t>
  </si>
  <si>
    <t xml:space="preserve">188-204 </t>
  </si>
  <si>
    <t xml:space="preserve">-8.69-65.7 </t>
  </si>
  <si>
    <t>Perfluorononanoic acid</t>
  </si>
  <si>
    <t>PFNA</t>
  </si>
  <si>
    <t>375-95-1</t>
  </si>
  <si>
    <t>53.2-66.5</t>
  </si>
  <si>
    <t xml:space="preserve">1.75-1.80 </t>
  </si>
  <si>
    <t>203-218</t>
  </si>
  <si>
    <t>60.1-77</t>
  </si>
  <si>
    <t xml:space="preserve">190-222 </t>
  </si>
  <si>
    <t xml:space="preserve">4.71-68.5 </t>
  </si>
  <si>
    <t xml:space="preserve">Perfluorodecanoic acid </t>
  </si>
  <si>
    <t>PFDA</t>
  </si>
  <si>
    <t>335-76-2</t>
  </si>
  <si>
    <t xml:space="preserve">1.76-1.82 </t>
  </si>
  <si>
    <t>79.7-82.9</t>
  </si>
  <si>
    <t>77-79</t>
  </si>
  <si>
    <t>PubChem Web Page</t>
  </si>
  <si>
    <t xml:space="preserve">78.0-90.0 </t>
  </si>
  <si>
    <t>5.98-90.0</t>
  </si>
  <si>
    <t>103-219</t>
  </si>
  <si>
    <t xml:space="preserve">205-239 </t>
  </si>
  <si>
    <t xml:space="preserve">Perfluoroundecanoic acid </t>
  </si>
  <si>
    <t>PFUnA</t>
  </si>
  <si>
    <t>2058-94-8</t>
  </si>
  <si>
    <t xml:space="preserve">1.76-1.85 </t>
  </si>
  <si>
    <t xml:space="preserve">97.9-100.3 </t>
  </si>
  <si>
    <t>Sigma Aldrich</t>
  </si>
  <si>
    <t>67.7-101.2</t>
  </si>
  <si>
    <t>112-114</t>
  </si>
  <si>
    <t>218-256</t>
  </si>
  <si>
    <t xml:space="preserve">-2.31-98.5 </t>
  </si>
  <si>
    <t>97.9-99.1</t>
  </si>
  <si>
    <t>Perfluorododecanoic acid</t>
  </si>
  <si>
    <t>PFDoDA</t>
  </si>
  <si>
    <t>307-55-1</t>
  </si>
  <si>
    <t>1.77-1.87</t>
  </si>
  <si>
    <t>108-114</t>
  </si>
  <si>
    <t>-0.4-111</t>
  </si>
  <si>
    <t>245-249</t>
  </si>
  <si>
    <t>Brace, 1962</t>
  </si>
  <si>
    <t xml:space="preserve">222-272 </t>
  </si>
  <si>
    <t xml:space="preserve">Perfluorotridecanoic acid </t>
  </si>
  <si>
    <t>PFTrDA</t>
  </si>
  <si>
    <t>72629-94-8</t>
  </si>
  <si>
    <t>1.77-1.92</t>
  </si>
  <si>
    <t xml:space="preserve">112-123 </t>
  </si>
  <si>
    <t xml:space="preserve">224-261 </t>
  </si>
  <si>
    <t>117.5-122</t>
  </si>
  <si>
    <t>0.264-119</t>
  </si>
  <si>
    <t xml:space="preserve">Perfluorotetradecanoic acid </t>
  </si>
  <si>
    <t>PFTeDA</t>
  </si>
  <si>
    <t>376-06-7</t>
  </si>
  <si>
    <t>1.78-1.94</t>
  </si>
  <si>
    <t>130-135</t>
  </si>
  <si>
    <t>218-301</t>
  </si>
  <si>
    <t>52.3-130</t>
  </si>
  <si>
    <t>Perfluorosulfonic acids</t>
  </si>
  <si>
    <t>PFSAs</t>
  </si>
  <si>
    <t>Trifluoromethanesulfonic acid</t>
  </si>
  <si>
    <t>TFMS</t>
  </si>
  <si>
    <t xml:space="preserve">1493-13-6 </t>
  </si>
  <si>
    <t>1.59-1.88</t>
  </si>
  <si>
    <t>-40.0-50.8</t>
  </si>
  <si>
    <t>162-203</t>
  </si>
  <si>
    <t>Corkum and Milne, 1978</t>
  </si>
  <si>
    <t>Russell and Senior, 1980</t>
  </si>
  <si>
    <t xml:space="preserve">Perfluoroethane sulfonic acid </t>
  </si>
  <si>
    <t>PFEtS</t>
  </si>
  <si>
    <t>354-88-1</t>
  </si>
  <si>
    <t>1.73-1.86</t>
  </si>
  <si>
    <t>49.0-100</t>
  </si>
  <si>
    <t>179-196</t>
  </si>
  <si>
    <t xml:space="preserve">Perfluoropropane sulfonic acid </t>
  </si>
  <si>
    <t>PFPrS</t>
  </si>
  <si>
    <t>423-41-6</t>
  </si>
  <si>
    <t>1.78-1.85</t>
  </si>
  <si>
    <t>62.7-92.0</t>
  </si>
  <si>
    <t>195-207</t>
  </si>
  <si>
    <t>Perfluorobutane sulfonic acid</t>
  </si>
  <si>
    <t>PFBS</t>
  </si>
  <si>
    <t xml:space="preserve">375-73-5 </t>
  </si>
  <si>
    <t>20.4-106</t>
  </si>
  <si>
    <t>1.81-1.85</t>
  </si>
  <si>
    <t>80-211</t>
  </si>
  <si>
    <t>205-214</t>
  </si>
  <si>
    <t>Perfluoropentane sulfonic acid</t>
  </si>
  <si>
    <t>PFPeS</t>
  </si>
  <si>
    <t>2706-91-4</t>
  </si>
  <si>
    <t>1.81-1.84</t>
  </si>
  <si>
    <t>10.7-135</t>
  </si>
  <si>
    <t>198-225</t>
  </si>
  <si>
    <t>Perfluorohexane sulfonic acid</t>
  </si>
  <si>
    <t>PFHxS</t>
  </si>
  <si>
    <t>355-46-4</t>
  </si>
  <si>
    <t xml:space="preserve">95-452 </t>
  </si>
  <si>
    <t>26.7-190</t>
  </si>
  <si>
    <t>218-238</t>
  </si>
  <si>
    <t>Perfluoroheptane sulfonic acid</t>
  </si>
  <si>
    <t>PFHpS</t>
  </si>
  <si>
    <t>375-92-8</t>
  </si>
  <si>
    <t xml:space="preserve">1.84-1.89 </t>
  </si>
  <si>
    <t>24.9-182</t>
  </si>
  <si>
    <t>206-226</t>
  </si>
  <si>
    <t>Perfluorooctane sulfonic acid</t>
  </si>
  <si>
    <t>PFOS</t>
  </si>
  <si>
    <t>1763-23-1</t>
  </si>
  <si>
    <t>1.84-1.85</t>
  </si>
  <si>
    <t xml:space="preserve">15.2-185 </t>
  </si>
  <si>
    <t xml:space="preserve">133-249 </t>
  </si>
  <si>
    <t xml:space="preserve">219-244 </t>
  </si>
  <si>
    <t>Perfluorononane sulfonic acid</t>
  </si>
  <si>
    <t>PFNS</t>
  </si>
  <si>
    <t>68259-12-1</t>
  </si>
  <si>
    <t>1.84-1.88</t>
  </si>
  <si>
    <t>13.4-183</t>
  </si>
  <si>
    <t>224-251</t>
  </si>
  <si>
    <t>Perfluorodecane sulfonic acid</t>
  </si>
  <si>
    <t>PFDS</t>
  </si>
  <si>
    <t>335-77-3</t>
  </si>
  <si>
    <t>1.83-1.93</t>
  </si>
  <si>
    <t>11.6-186</t>
  </si>
  <si>
    <t>224-255</t>
  </si>
  <si>
    <t>Perfluorododecane sulfonic acid</t>
  </si>
  <si>
    <t>PFDoDS</t>
  </si>
  <si>
    <t>79780-39-5</t>
  </si>
  <si>
    <t>Fluorotelomer carboxylic acids</t>
  </si>
  <si>
    <t>FTCAs</t>
  </si>
  <si>
    <t>2:2 Fluorotelomer carboxylic acid</t>
  </si>
  <si>
    <t>2:2 FTCA</t>
  </si>
  <si>
    <t>380-60-9</t>
  </si>
  <si>
    <t>3:3 Fluorotelomer carboxylic acid</t>
  </si>
  <si>
    <t>3:3 FTCA</t>
  </si>
  <si>
    <t>356-02-5</t>
  </si>
  <si>
    <t>1.51-1.53</t>
  </si>
  <si>
    <t>-11.8-15.0</t>
  </si>
  <si>
    <t>147-169</t>
  </si>
  <si>
    <t>4:2 Fluorotelomer carboxylic acid</t>
  </si>
  <si>
    <t>4:2 FTCA</t>
  </si>
  <si>
    <t>70887-89-7</t>
  </si>
  <si>
    <t>5:3 Fluorotelomer carboxylic acid</t>
  </si>
  <si>
    <t>5:3 FTCA</t>
  </si>
  <si>
    <t>914637-49-3</t>
  </si>
  <si>
    <t xml:space="preserve">53.9 - 57.3 </t>
  </si>
  <si>
    <t>Apollo Scientific Web Page</t>
  </si>
  <si>
    <t>181-199</t>
  </si>
  <si>
    <t>6:2 Fluorotelomer carboxylic acid</t>
  </si>
  <si>
    <t>6:2 FTCA</t>
  </si>
  <si>
    <t>53826-12-3</t>
  </si>
  <si>
    <t>1.64-1.67</t>
  </si>
  <si>
    <t>175-193</t>
  </si>
  <si>
    <t>13.7-37.8</t>
  </si>
  <si>
    <t>7:3 Fluorotelomer carboxylic acid</t>
  </si>
  <si>
    <t>7:3 FTCA</t>
  </si>
  <si>
    <t>812-70-4</t>
  </si>
  <si>
    <t>1.59-1.64</t>
  </si>
  <si>
    <t>14.6-63.0</t>
  </si>
  <si>
    <t>188-230</t>
  </si>
  <si>
    <t>8:2 Fluorotelomer carboxylic acid</t>
  </si>
  <si>
    <t>8:2 FTCA</t>
  </si>
  <si>
    <t>27854-31-5</t>
  </si>
  <si>
    <t>1.70-1.73</t>
  </si>
  <si>
    <t>12.7-75.0</t>
  </si>
  <si>
    <t>192-225</t>
  </si>
  <si>
    <t>10:2 Fluorotelomer carboxylic acid</t>
  </si>
  <si>
    <t>10:2 FTCA</t>
  </si>
  <si>
    <t>53826-13-4</t>
  </si>
  <si>
    <t>220-256</t>
  </si>
  <si>
    <t>12:2 Fluorotelomer carboxylic acid</t>
  </si>
  <si>
    <t>12:2 FTCA</t>
  </si>
  <si>
    <t>70887-93-3</t>
  </si>
  <si>
    <t xml:space="preserve">Fluorotelomer sulfonic acids </t>
  </si>
  <si>
    <t>FTS/FTSAs</t>
  </si>
  <si>
    <t>4:2 Fluorotelomer sulfonic acid</t>
  </si>
  <si>
    <t>4:2 FTSA</t>
  </si>
  <si>
    <t>757124-72-4</t>
  </si>
  <si>
    <t>6:2 Fluorotelomer sulfonic acid</t>
  </si>
  <si>
    <t>6:2 FTSA</t>
  </si>
  <si>
    <t>27619-97-2</t>
  </si>
  <si>
    <t>1.64-1.71</t>
  </si>
  <si>
    <t>18.7-126</t>
  </si>
  <si>
    <t>219-258</t>
  </si>
  <si>
    <t>8:2 Fluorotelomer sulfonic acid</t>
  </si>
  <si>
    <t>8:2 FTSA</t>
  </si>
  <si>
    <t>39108-34-4</t>
  </si>
  <si>
    <t>1.69-1.73</t>
  </si>
  <si>
    <t>16.8-162</t>
  </si>
  <si>
    <t>224-265</t>
  </si>
  <si>
    <t>10:2 Fluorotelomer sulfonic acid</t>
  </si>
  <si>
    <t>10:2 FTSA</t>
  </si>
  <si>
    <r>
      <t>C</t>
    </r>
    <r>
      <rPr>
        <vertAlign val="subscript"/>
        <sz val="11"/>
        <rFont val="Calibri"/>
        <family val="2"/>
        <scheme val="minor"/>
      </rPr>
      <t>10</t>
    </r>
    <r>
      <rPr>
        <sz val="11"/>
        <rFont val="Calibri"/>
        <family val="2"/>
        <scheme val="minor"/>
      </rPr>
      <t>F</t>
    </r>
    <r>
      <rPr>
        <vertAlign val="subscript"/>
        <sz val="11"/>
        <rFont val="Calibri"/>
        <family val="2"/>
        <scheme val="minor"/>
      </rPr>
      <t>21</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SO</t>
    </r>
    <r>
      <rPr>
        <vertAlign val="subscript"/>
        <sz val="11"/>
        <rFont val="Calibri"/>
        <family val="2"/>
        <scheme val="minor"/>
      </rPr>
      <t>3</t>
    </r>
    <r>
      <rPr>
        <sz val="11"/>
        <rFont val="Calibri"/>
        <family val="2"/>
        <scheme val="minor"/>
      </rPr>
      <t>H</t>
    </r>
  </si>
  <si>
    <t>120226-60-0</t>
  </si>
  <si>
    <t>Perfluoroalkane sulfonamides</t>
  </si>
  <si>
    <t>FASAs</t>
  </si>
  <si>
    <t>Perfluorobutane sulfonamide</t>
  </si>
  <si>
    <t>FBSA/PFBSA</t>
  </si>
  <si>
    <t>30334-69-1</t>
  </si>
  <si>
    <t>67.4-71.1</t>
  </si>
  <si>
    <t>163-210</t>
  </si>
  <si>
    <t>Perfluorohexane sulfonamide</t>
  </si>
  <si>
    <t>FHxSA/PFHxSA</t>
  </si>
  <si>
    <t>41997-13-1</t>
  </si>
  <si>
    <t>1.62-1.79</t>
  </si>
  <si>
    <t>116-119</t>
  </si>
  <si>
    <t>195-213</t>
  </si>
  <si>
    <t>29.3-95.7</t>
  </si>
  <si>
    <t>Perfluorooctane sulfonamide</t>
  </si>
  <si>
    <t>FOSA/PFOSA</t>
  </si>
  <si>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t>
    </r>
    <r>
      <rPr>
        <vertAlign val="subscript"/>
        <sz val="11"/>
        <rFont val="Calibri"/>
        <family val="2"/>
        <scheme val="minor"/>
      </rPr>
      <t>2</t>
    </r>
    <r>
      <rPr>
        <sz val="11"/>
        <rFont val="Calibri"/>
        <family val="2"/>
        <scheme val="minor"/>
      </rPr>
      <t>NH</t>
    </r>
    <r>
      <rPr>
        <vertAlign val="subscript"/>
        <sz val="11"/>
        <rFont val="Calibri"/>
        <family val="2"/>
        <scheme val="minor"/>
      </rPr>
      <t>2</t>
    </r>
  </si>
  <si>
    <t>754-91-6</t>
  </si>
  <si>
    <t>1.78-1.79</t>
  </si>
  <si>
    <t>197-200</t>
  </si>
  <si>
    <t>194-227</t>
  </si>
  <si>
    <t xml:space="preserve">30.1-80.8 </t>
  </si>
  <si>
    <t>N-Methyl perfluorooctane sulfonamide</t>
  </si>
  <si>
    <t xml:space="preserve">MeFOSA </t>
  </si>
  <si>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t>
    </r>
    <r>
      <rPr>
        <vertAlign val="subscript"/>
        <sz val="11"/>
        <rFont val="Calibri"/>
        <family val="2"/>
        <scheme val="minor"/>
      </rPr>
      <t>2</t>
    </r>
    <r>
      <rPr>
        <sz val="11"/>
        <rFont val="Calibri"/>
        <family val="2"/>
        <scheme val="minor"/>
      </rPr>
      <t>NHCH</t>
    </r>
    <r>
      <rPr>
        <vertAlign val="subscript"/>
        <sz val="11"/>
        <rFont val="Calibri"/>
        <family val="2"/>
        <scheme val="minor"/>
      </rPr>
      <t>3</t>
    </r>
  </si>
  <si>
    <t>31506-32-8</t>
  </si>
  <si>
    <t xml:space="preserve">1.62-1.71 </t>
  </si>
  <si>
    <t xml:space="preserve">21.2-102 </t>
  </si>
  <si>
    <t>198-227</t>
  </si>
  <si>
    <t>N-Ethyl perfluorooctane sulfonamide</t>
  </si>
  <si>
    <t xml:space="preserve">EtFOSA </t>
  </si>
  <si>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t>
    </r>
    <r>
      <rPr>
        <vertAlign val="subscript"/>
        <sz val="11"/>
        <rFont val="Calibri"/>
        <family val="2"/>
        <scheme val="minor"/>
      </rPr>
      <t>2</t>
    </r>
    <r>
      <rPr>
        <sz val="11"/>
        <rFont val="Calibri"/>
        <family val="2"/>
        <scheme val="minor"/>
      </rPr>
      <t>NHCH</t>
    </r>
    <r>
      <rPr>
        <vertAlign val="subscript"/>
        <sz val="11"/>
        <rFont val="Calibri"/>
        <family val="2"/>
        <scheme val="minor"/>
      </rPr>
      <t>2</t>
    </r>
    <r>
      <rPr>
        <sz val="11"/>
        <rFont val="Calibri"/>
        <family val="2"/>
        <scheme val="minor"/>
      </rPr>
      <t>CH</t>
    </r>
    <r>
      <rPr>
        <vertAlign val="subscript"/>
        <sz val="11"/>
        <rFont val="Calibri"/>
        <family val="2"/>
        <scheme val="minor"/>
      </rPr>
      <t>3</t>
    </r>
  </si>
  <si>
    <t>4151-50-2</t>
  </si>
  <si>
    <t xml:space="preserve">1.60-1.67 </t>
  </si>
  <si>
    <t>3M Company, 2000</t>
  </si>
  <si>
    <t>80-96</t>
  </si>
  <si>
    <t>110-407</t>
  </si>
  <si>
    <t>23.3-96</t>
  </si>
  <si>
    <t>196-247</t>
  </si>
  <si>
    <t>N-Ethyl-N-[2-(phosphonooxy)ethyl]perfluorooctanesulfonamide</t>
  </si>
  <si>
    <t>SAmPAP monoester</t>
  </si>
  <si>
    <t>3820-83-5</t>
  </si>
  <si>
    <t>1.74-1.91</t>
  </si>
  <si>
    <t>65.5-169</t>
  </si>
  <si>
    <t>225-428</t>
  </si>
  <si>
    <t>Bis(2-{ethyl[(perfluorooctyl)sulfonyl]amino}ethyl) hydrogen phosphate</t>
  </si>
  <si>
    <t>SAmPAP diester</t>
  </si>
  <si>
    <t>2965-52-8</t>
  </si>
  <si>
    <t>48-119</t>
  </si>
  <si>
    <t>290-580</t>
  </si>
  <si>
    <t>Perfluoroalkane sulfonamidoethanols</t>
  </si>
  <si>
    <t>FASEs</t>
  </si>
  <si>
    <t>Perfluorobutane sulfonamidoethanol</t>
  </si>
  <si>
    <t>FBSE</t>
  </si>
  <si>
    <t>34454-99-4</t>
  </si>
  <si>
    <t>214-238</t>
  </si>
  <si>
    <t>Perfluorooctane sulfonamidoethanol</t>
  </si>
  <si>
    <t>FOSE</t>
  </si>
  <si>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t>
    </r>
    <r>
      <rPr>
        <vertAlign val="subscript"/>
        <sz val="11"/>
        <rFont val="Calibri"/>
        <family val="2"/>
        <scheme val="minor"/>
      </rPr>
      <t>2</t>
    </r>
    <r>
      <rPr>
        <sz val="11"/>
        <rFont val="Calibri"/>
        <family val="2"/>
        <scheme val="minor"/>
      </rPr>
      <t>NH(CH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OH</t>
    </r>
  </si>
  <si>
    <t>10116-92-4</t>
  </si>
  <si>
    <t>221-290</t>
  </si>
  <si>
    <t>N-Methyl perfluorooctane sulfonamidoethanol</t>
  </si>
  <si>
    <t>MeFOSE</t>
  </si>
  <si>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t>
    </r>
    <r>
      <rPr>
        <vertAlign val="subscript"/>
        <sz val="11"/>
        <rFont val="Calibri"/>
        <family val="2"/>
        <scheme val="minor"/>
      </rPr>
      <t>2</t>
    </r>
    <r>
      <rPr>
        <sz val="11"/>
        <rFont val="Calibri"/>
        <family val="2"/>
        <scheme val="minor"/>
      </rPr>
      <t>N(CH</t>
    </r>
    <r>
      <rPr>
        <vertAlign val="subscript"/>
        <sz val="11"/>
        <rFont val="Calibri"/>
        <family val="2"/>
        <scheme val="minor"/>
      </rPr>
      <t>3</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OH</t>
    </r>
  </si>
  <si>
    <t>24448-09-7</t>
  </si>
  <si>
    <t>1.69-1.76</t>
  </si>
  <si>
    <t>75-95</t>
  </si>
  <si>
    <t xml:space="preserve">186-300 </t>
  </si>
  <si>
    <t>29.1-92.7</t>
  </si>
  <si>
    <t>N-Ethyl perfluorooctane sulfonamidoethanol</t>
  </si>
  <si>
    <t>EtFOSE</t>
  </si>
  <si>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t>
    </r>
    <r>
      <rPr>
        <vertAlign val="subscript"/>
        <sz val="11"/>
        <rFont val="Calibri"/>
        <family val="2"/>
        <scheme val="minor"/>
      </rPr>
      <t>2</t>
    </r>
    <r>
      <rPr>
        <sz val="11"/>
        <rFont val="Calibri"/>
        <family val="2"/>
        <scheme val="minor"/>
      </rPr>
      <t>N(C</t>
    </r>
    <r>
      <rPr>
        <vertAlign val="subscript"/>
        <sz val="11"/>
        <rFont val="Calibri"/>
        <family val="2"/>
        <scheme val="minor"/>
      </rPr>
      <t>2</t>
    </r>
    <r>
      <rPr>
        <sz val="11"/>
        <rFont val="Calibri"/>
        <family val="2"/>
        <scheme val="minor"/>
      </rPr>
      <t>H</t>
    </r>
    <r>
      <rPr>
        <vertAlign val="subscript"/>
        <sz val="11"/>
        <rFont val="Calibri"/>
        <family val="2"/>
        <scheme val="minor"/>
      </rPr>
      <t>5</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OH</t>
    </r>
  </si>
  <si>
    <t>1691-99-2</t>
  </si>
  <si>
    <t>1.65-1.76</t>
  </si>
  <si>
    <t>57.5-60</t>
  </si>
  <si>
    <t>32.2-102</t>
  </si>
  <si>
    <t>193-317</t>
  </si>
  <si>
    <t>Perfluoroalkane sulfonamido acetic acids</t>
  </si>
  <si>
    <t>FASAAs</t>
  </si>
  <si>
    <t>Perfluorooctane sulfonamido acetic acid</t>
  </si>
  <si>
    <t>FOSAA</t>
  </si>
  <si>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SOONHCH</t>
    </r>
    <r>
      <rPr>
        <vertAlign val="subscript"/>
        <sz val="11"/>
        <rFont val="Calibri"/>
        <family val="2"/>
        <scheme val="minor"/>
      </rPr>
      <t>2</t>
    </r>
    <r>
      <rPr>
        <sz val="11"/>
        <rFont val="Calibri"/>
        <family val="2"/>
        <scheme val="minor"/>
      </rPr>
      <t>CO</t>
    </r>
    <r>
      <rPr>
        <vertAlign val="subscript"/>
        <sz val="11"/>
        <rFont val="Calibri"/>
        <family val="2"/>
        <scheme val="minor"/>
      </rPr>
      <t>2</t>
    </r>
    <r>
      <rPr>
        <sz val="11"/>
        <rFont val="Calibri"/>
        <family val="2"/>
        <scheme val="minor"/>
      </rPr>
      <t>H</t>
    </r>
  </si>
  <si>
    <t>2806-24-8</t>
  </si>
  <si>
    <t>1.69-1.79</t>
  </si>
  <si>
    <t>54.8-153</t>
  </si>
  <si>
    <t>222-319</t>
  </si>
  <si>
    <t>N-Methyl perfluorooctane sulfonamido acetic acid</t>
  </si>
  <si>
    <t>MeFOSAA</t>
  </si>
  <si>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SOON(CH</t>
    </r>
    <r>
      <rPr>
        <vertAlign val="subscript"/>
        <sz val="11"/>
        <rFont val="Calibri"/>
        <family val="2"/>
        <scheme val="minor"/>
      </rPr>
      <t>3</t>
    </r>
    <r>
      <rPr>
        <sz val="11"/>
        <rFont val="Calibri"/>
        <family val="2"/>
        <scheme val="minor"/>
      </rPr>
      <t>)CH</t>
    </r>
    <r>
      <rPr>
        <vertAlign val="subscript"/>
        <sz val="11"/>
        <rFont val="Calibri"/>
        <family val="2"/>
        <scheme val="minor"/>
      </rPr>
      <t>2</t>
    </r>
    <r>
      <rPr>
        <sz val="11"/>
        <rFont val="Calibri"/>
        <family val="2"/>
        <scheme val="minor"/>
      </rPr>
      <t>CO</t>
    </r>
    <r>
      <rPr>
        <vertAlign val="subscript"/>
        <sz val="11"/>
        <rFont val="Calibri"/>
        <family val="2"/>
        <scheme val="minor"/>
      </rPr>
      <t>2</t>
    </r>
    <r>
      <rPr>
        <sz val="11"/>
        <rFont val="Calibri"/>
        <family val="2"/>
        <scheme val="minor"/>
      </rPr>
      <t>H</t>
    </r>
  </si>
  <si>
    <t>2355-31-9</t>
  </si>
  <si>
    <t>1.75-1.82</t>
  </si>
  <si>
    <t>66.8-88.1</t>
  </si>
  <si>
    <t>204-327</t>
  </si>
  <si>
    <t>N-Ethyl perfluorooctane sulfonamido acetic acid</t>
  </si>
  <si>
    <t>EtFOSAA</t>
  </si>
  <si>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SOON(C</t>
    </r>
    <r>
      <rPr>
        <vertAlign val="subscript"/>
        <sz val="11"/>
        <rFont val="Calibri"/>
        <family val="2"/>
        <scheme val="minor"/>
      </rPr>
      <t>2</t>
    </r>
    <r>
      <rPr>
        <sz val="11"/>
        <rFont val="Calibri"/>
        <family val="2"/>
        <scheme val="minor"/>
      </rPr>
      <t>H</t>
    </r>
    <r>
      <rPr>
        <vertAlign val="subscript"/>
        <sz val="11"/>
        <rFont val="Calibri"/>
        <family val="2"/>
        <scheme val="minor"/>
      </rPr>
      <t>5</t>
    </r>
    <r>
      <rPr>
        <sz val="11"/>
        <rFont val="Calibri"/>
        <family val="2"/>
        <scheme val="minor"/>
      </rPr>
      <t>)CH</t>
    </r>
    <r>
      <rPr>
        <vertAlign val="subscript"/>
        <sz val="11"/>
        <rFont val="Calibri"/>
        <family val="2"/>
        <scheme val="minor"/>
      </rPr>
      <t>2</t>
    </r>
    <r>
      <rPr>
        <sz val="11"/>
        <rFont val="Calibri"/>
        <family val="2"/>
        <scheme val="minor"/>
      </rPr>
      <t>CO</t>
    </r>
    <r>
      <rPr>
        <vertAlign val="subscript"/>
        <sz val="11"/>
        <rFont val="Calibri"/>
        <family val="2"/>
        <scheme val="minor"/>
      </rPr>
      <t>2</t>
    </r>
    <r>
      <rPr>
        <sz val="11"/>
        <rFont val="Calibri"/>
        <family val="2"/>
        <scheme val="minor"/>
      </rPr>
      <t>H</t>
    </r>
  </si>
  <si>
    <t>2991-50-6</t>
  </si>
  <si>
    <t>1.71-1.81</t>
  </si>
  <si>
    <t>64.9-129</t>
  </si>
  <si>
    <t>204-343</t>
  </si>
  <si>
    <t>Fluorotelomer alcohols</t>
  </si>
  <si>
    <t>FTOHs</t>
  </si>
  <si>
    <t>4:2 Fluorotelomer alcohol</t>
  </si>
  <si>
    <t>4:2 FTOH</t>
  </si>
  <si>
    <t>2043-47-2</t>
  </si>
  <si>
    <t xml:space="preserve">-44 </t>
  </si>
  <si>
    <t>Krusic et al., 2005</t>
  </si>
  <si>
    <t>-43.7</t>
  </si>
  <si>
    <t>UNEP, 2012</t>
  </si>
  <si>
    <t>93-138</t>
  </si>
  <si>
    <t>6:2 Fluorotelomer alcohol</t>
  </si>
  <si>
    <t>6:2 FTOH</t>
  </si>
  <si>
    <t>647-42-7</t>
  </si>
  <si>
    <t>1.54-1.59</t>
  </si>
  <si>
    <t>-35</t>
  </si>
  <si>
    <t>171.5-173.8</t>
  </si>
  <si>
    <t>-16.4-22.6</t>
  </si>
  <si>
    <t>90-174</t>
  </si>
  <si>
    <t>122-174</t>
  </si>
  <si>
    <t>8:2 Fluorotelomer alcohol</t>
  </si>
  <si>
    <t>8:2 FTOH</t>
  </si>
  <si>
    <t>678-39-7</t>
  </si>
  <si>
    <t>1.54-1.63</t>
  </si>
  <si>
    <t xml:space="preserve">46-50 </t>
  </si>
  <si>
    <t>Kaiser et al., 2004</t>
  </si>
  <si>
    <t>-0.998-47.5</t>
  </si>
  <si>
    <t xml:space="preserve">201.3-202.0 </t>
  </si>
  <si>
    <t>44.75-46.95</t>
  </si>
  <si>
    <t>113-206</t>
  </si>
  <si>
    <t>154-195</t>
  </si>
  <si>
    <t>10:2 Fluorotelomer alcohol</t>
  </si>
  <si>
    <t>10:2 FTOH</t>
  </si>
  <si>
    <t>865-86-1</t>
  </si>
  <si>
    <t>1.66-1.68</t>
  </si>
  <si>
    <t xml:space="preserve">92.5-95 </t>
  </si>
  <si>
    <t>-2.65-92.7</t>
  </si>
  <si>
    <t>179-232</t>
  </si>
  <si>
    <t>89.75-92.35</t>
  </si>
  <si>
    <t>111-228</t>
  </si>
  <si>
    <t>Perfluoroalkyl Ether Carboxylic Acids</t>
  </si>
  <si>
    <t>PFECAs</t>
  </si>
  <si>
    <t xml:space="preserve">Perfluoro-2-methoxyacetic acid </t>
  </si>
  <si>
    <t>PFMOAA</t>
  </si>
  <si>
    <t>674-13-5</t>
  </si>
  <si>
    <t>1.66-1.69</t>
  </si>
  <si>
    <t>-16.0 - -5.65</t>
  </si>
  <si>
    <t>109 - 115</t>
  </si>
  <si>
    <t xml:space="preserve">Hexafluoropropylene oxide dimer acid </t>
  </si>
  <si>
    <r>
      <t>HFPO-DA</t>
    </r>
    <r>
      <rPr>
        <vertAlign val="superscript"/>
        <sz val="11"/>
        <rFont val="Calibri"/>
        <family val="2"/>
        <scheme val="minor"/>
      </rPr>
      <t>b</t>
    </r>
  </si>
  <si>
    <r>
      <t>C</t>
    </r>
    <r>
      <rPr>
        <vertAlign val="subscript"/>
        <sz val="11"/>
        <rFont val="Calibri"/>
        <family val="2"/>
        <scheme val="minor"/>
      </rPr>
      <t>3</t>
    </r>
    <r>
      <rPr>
        <sz val="11"/>
        <rFont val="Calibri"/>
        <family val="2"/>
        <scheme val="minor"/>
      </rPr>
      <t>F</t>
    </r>
    <r>
      <rPr>
        <vertAlign val="subscript"/>
        <sz val="11"/>
        <rFont val="Calibri"/>
        <family val="2"/>
        <scheme val="minor"/>
      </rPr>
      <t>7</t>
    </r>
    <r>
      <rPr>
        <sz val="11"/>
        <rFont val="Calibri"/>
        <family val="2"/>
        <scheme val="minor"/>
      </rPr>
      <t>O(CF</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COOH</t>
    </r>
  </si>
  <si>
    <t>13252-13-6</t>
  </si>
  <si>
    <t>Burns et al., 2008</t>
  </si>
  <si>
    <t xml:space="preserve">143-145 </t>
  </si>
  <si>
    <t>Hoke et al., 2016</t>
  </si>
  <si>
    <t>&lt;-40</t>
  </si>
  <si>
    <t>173-188</t>
  </si>
  <si>
    <t>Hexafluoropropylene oxide dimer acid ammonium salt</t>
  </si>
  <si>
    <r>
      <t>GenX</t>
    </r>
    <r>
      <rPr>
        <vertAlign val="superscript"/>
        <sz val="11"/>
        <rFont val="Calibri"/>
        <family val="2"/>
        <scheme val="minor"/>
      </rPr>
      <t>b</t>
    </r>
  </si>
  <si>
    <r>
      <t>C</t>
    </r>
    <r>
      <rPr>
        <vertAlign val="subscript"/>
        <sz val="11"/>
        <rFont val="Calibri"/>
        <family val="2"/>
        <scheme val="minor"/>
      </rPr>
      <t>3</t>
    </r>
    <r>
      <rPr>
        <sz val="11"/>
        <rFont val="Calibri"/>
        <family val="2"/>
        <scheme val="minor"/>
      </rPr>
      <t>F</t>
    </r>
    <r>
      <rPr>
        <vertAlign val="subscript"/>
        <sz val="11"/>
        <rFont val="Calibri"/>
        <family val="2"/>
        <scheme val="minor"/>
      </rPr>
      <t>7</t>
    </r>
    <r>
      <rPr>
        <sz val="11"/>
        <rFont val="Calibri"/>
        <family val="2"/>
        <scheme val="minor"/>
      </rPr>
      <t>O(CF</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CONH</t>
    </r>
    <r>
      <rPr>
        <vertAlign val="subscript"/>
        <sz val="11"/>
        <rFont val="Calibri"/>
        <family val="2"/>
        <scheme val="minor"/>
      </rPr>
      <t>3</t>
    </r>
  </si>
  <si>
    <t>62037-80-3</t>
  </si>
  <si>
    <t>ECHA, 2022</t>
  </si>
  <si>
    <t>Perfluoro-3-methoxypropanoic acid</t>
  </si>
  <si>
    <t>PFMPA</t>
  </si>
  <si>
    <r>
      <t>CF</t>
    </r>
    <r>
      <rPr>
        <vertAlign val="subscript"/>
        <sz val="11"/>
        <rFont val="Calibri"/>
        <family val="2"/>
        <scheme val="minor"/>
      </rPr>
      <t>3</t>
    </r>
    <r>
      <rPr>
        <sz val="11"/>
        <rFont val="Calibri"/>
        <family val="2"/>
        <scheme val="minor"/>
      </rPr>
      <t>O(CF</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COOH</t>
    </r>
  </si>
  <si>
    <t>377-73-1</t>
  </si>
  <si>
    <t xml:space="preserve">1.59-1.72 </t>
  </si>
  <si>
    <t>-4.7-14</t>
  </si>
  <si>
    <t xml:space="preserve">122-147 </t>
  </si>
  <si>
    <t>Perfluoro-4-methoxybutanoic acid</t>
  </si>
  <si>
    <t>PFMBA</t>
  </si>
  <si>
    <r>
      <t>CF</t>
    </r>
    <r>
      <rPr>
        <vertAlign val="subscript"/>
        <sz val="11"/>
        <rFont val="Calibri"/>
        <family val="2"/>
        <scheme val="minor"/>
      </rPr>
      <t>3</t>
    </r>
    <r>
      <rPr>
        <sz val="11"/>
        <rFont val="Calibri"/>
        <family val="2"/>
        <scheme val="minor"/>
      </rPr>
      <t>O(CF</t>
    </r>
    <r>
      <rPr>
        <vertAlign val="subscript"/>
        <sz val="11"/>
        <rFont val="Calibri"/>
        <family val="2"/>
        <scheme val="minor"/>
      </rPr>
      <t>2</t>
    </r>
    <r>
      <rPr>
        <sz val="11"/>
        <rFont val="Calibri"/>
        <family val="2"/>
        <scheme val="minor"/>
      </rPr>
      <t>)</t>
    </r>
    <r>
      <rPr>
        <vertAlign val="subscript"/>
        <sz val="11"/>
        <rFont val="Calibri"/>
        <family val="2"/>
        <scheme val="minor"/>
      </rPr>
      <t>3</t>
    </r>
    <r>
      <rPr>
        <sz val="11"/>
        <rFont val="Calibri"/>
        <family val="2"/>
        <scheme val="minor"/>
      </rPr>
      <t>COOH</t>
    </r>
  </si>
  <si>
    <t>863090-89-5</t>
  </si>
  <si>
    <t>1.69-1.74</t>
  </si>
  <si>
    <t xml:space="preserve">13.4-15.7 </t>
  </si>
  <si>
    <t xml:space="preserve">150-158 </t>
  </si>
  <si>
    <t>Perfluoro-3,6-dioxaheptanoic acid</t>
  </si>
  <si>
    <t>NFDHA</t>
  </si>
  <si>
    <r>
      <t>CF</t>
    </r>
    <r>
      <rPr>
        <vertAlign val="subscript"/>
        <sz val="11"/>
        <rFont val="Calibri"/>
        <family val="2"/>
        <scheme val="minor"/>
      </rPr>
      <t>3</t>
    </r>
    <r>
      <rPr>
        <sz val="11"/>
        <rFont val="Calibri"/>
        <family val="2"/>
        <scheme val="minor"/>
      </rPr>
      <t>O(CF</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OCF</t>
    </r>
    <r>
      <rPr>
        <vertAlign val="subscript"/>
        <sz val="11"/>
        <rFont val="Calibri"/>
        <family val="2"/>
        <scheme val="minor"/>
      </rPr>
      <t>2</t>
    </r>
    <r>
      <rPr>
        <sz val="11"/>
        <rFont val="Calibri"/>
        <family val="2"/>
        <scheme val="minor"/>
      </rPr>
      <t>COOH</t>
    </r>
  </si>
  <si>
    <t>151772-58-6</t>
  </si>
  <si>
    <t xml:space="preserve">1.71-1.77 </t>
  </si>
  <si>
    <t xml:space="preserve">17.0 - 24.0 </t>
  </si>
  <si>
    <t xml:space="preserve">161 - 186 </t>
  </si>
  <si>
    <t>Perfluoroalkyl Ether Sulfonic Acids</t>
  </si>
  <si>
    <t>PFESAs</t>
  </si>
  <si>
    <t>11-chloroeicosafluoro-3-oxaundecane-1-sulfonic acid</t>
  </si>
  <si>
    <t>11Cl-PF3OUdS or F53B Minor</t>
  </si>
  <si>
    <r>
      <t>Cl(CF</t>
    </r>
    <r>
      <rPr>
        <vertAlign val="subscript"/>
        <sz val="11"/>
        <rFont val="Calibri"/>
        <family val="2"/>
        <scheme val="minor"/>
      </rPr>
      <t>2</t>
    </r>
    <r>
      <rPr>
        <sz val="11"/>
        <rFont val="Calibri"/>
        <family val="2"/>
        <scheme val="minor"/>
      </rPr>
      <t>)</t>
    </r>
    <r>
      <rPr>
        <vertAlign val="subscript"/>
        <sz val="11"/>
        <rFont val="Calibri"/>
        <family val="2"/>
        <scheme val="minor"/>
      </rPr>
      <t>8</t>
    </r>
    <r>
      <rPr>
        <sz val="11"/>
        <rFont val="Calibri"/>
        <family val="2"/>
        <scheme val="minor"/>
      </rPr>
      <t>O(CF</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SO</t>
    </r>
    <r>
      <rPr>
        <vertAlign val="subscript"/>
        <sz val="11"/>
        <rFont val="Calibri"/>
        <family val="2"/>
        <scheme val="minor"/>
      </rPr>
      <t>3</t>
    </r>
    <r>
      <rPr>
        <sz val="11"/>
        <rFont val="Calibri"/>
        <family val="2"/>
        <scheme val="minor"/>
      </rPr>
      <t>H</t>
    </r>
  </si>
  <si>
    <t>763051-92-9</t>
  </si>
  <si>
    <t>9-chlorohexadecafluoro-3-oxanone-1-sulfonic acid</t>
  </si>
  <si>
    <t>9Cl-PF3ONS or F53B Major</t>
  </si>
  <si>
    <r>
      <t>Cl(CF</t>
    </r>
    <r>
      <rPr>
        <vertAlign val="subscript"/>
        <sz val="11"/>
        <rFont val="Calibri"/>
        <family val="2"/>
        <scheme val="minor"/>
      </rPr>
      <t>2</t>
    </r>
    <r>
      <rPr>
        <sz val="11"/>
        <rFont val="Calibri"/>
        <family val="2"/>
        <scheme val="minor"/>
      </rPr>
      <t>)</t>
    </r>
    <r>
      <rPr>
        <vertAlign val="subscript"/>
        <sz val="11"/>
        <rFont val="Calibri"/>
        <family val="2"/>
        <scheme val="minor"/>
      </rPr>
      <t>6</t>
    </r>
    <r>
      <rPr>
        <sz val="11"/>
        <rFont val="Calibri"/>
        <family val="2"/>
        <scheme val="minor"/>
      </rPr>
      <t>O(CF</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SO</t>
    </r>
    <r>
      <rPr>
        <vertAlign val="subscript"/>
        <sz val="11"/>
        <rFont val="Calibri"/>
        <family val="2"/>
        <scheme val="minor"/>
      </rPr>
      <t>3</t>
    </r>
    <r>
      <rPr>
        <sz val="11"/>
        <rFont val="Calibri"/>
        <family val="2"/>
        <scheme val="minor"/>
      </rPr>
      <t>H</t>
    </r>
  </si>
  <si>
    <t>756426-58-1</t>
  </si>
  <si>
    <t>Perfluoro(2-ethoxyethane)sulfonic acid</t>
  </si>
  <si>
    <t>PFEESA</t>
  </si>
  <si>
    <r>
      <t>C</t>
    </r>
    <r>
      <rPr>
        <vertAlign val="subscript"/>
        <sz val="11"/>
        <rFont val="Calibri"/>
        <family val="2"/>
        <scheme val="minor"/>
      </rPr>
      <t>2</t>
    </r>
    <r>
      <rPr>
        <sz val="11"/>
        <rFont val="Calibri"/>
        <family val="2"/>
        <scheme val="minor"/>
      </rPr>
      <t>F</t>
    </r>
    <r>
      <rPr>
        <vertAlign val="subscript"/>
        <sz val="11"/>
        <rFont val="Calibri"/>
        <family val="2"/>
        <scheme val="minor"/>
      </rPr>
      <t>5</t>
    </r>
    <r>
      <rPr>
        <sz val="11"/>
        <rFont val="Calibri"/>
        <family val="2"/>
        <scheme val="minor"/>
      </rPr>
      <t>O(CF</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SO</t>
    </r>
    <r>
      <rPr>
        <vertAlign val="subscript"/>
        <sz val="11"/>
        <rFont val="Calibri"/>
        <family val="2"/>
        <scheme val="minor"/>
      </rPr>
      <t>3</t>
    </r>
    <r>
      <rPr>
        <sz val="11"/>
        <rFont val="Calibri"/>
        <family val="2"/>
        <scheme val="minor"/>
      </rPr>
      <t>H</t>
    </r>
  </si>
  <si>
    <t>113507-82-7</t>
  </si>
  <si>
    <t>1.83-1.87</t>
  </si>
  <si>
    <t xml:space="preserve">2.64 - 112 </t>
  </si>
  <si>
    <t xml:space="preserve">215-217 </t>
  </si>
  <si>
    <t>Polyfluoroalkyl Ether Acids</t>
  </si>
  <si>
    <t>4,8-dioxa-3H-perfluorononanoic acid</t>
  </si>
  <si>
    <t>DONA</t>
  </si>
  <si>
    <r>
      <t>CF</t>
    </r>
    <r>
      <rPr>
        <vertAlign val="subscript"/>
        <sz val="11"/>
        <rFont val="Calibri"/>
        <family val="2"/>
        <scheme val="minor"/>
      </rPr>
      <t>3</t>
    </r>
    <r>
      <rPr>
        <sz val="11"/>
        <rFont val="Calibri"/>
        <family val="2"/>
        <scheme val="minor"/>
      </rPr>
      <t>O(CF</t>
    </r>
    <r>
      <rPr>
        <vertAlign val="subscript"/>
        <sz val="11"/>
        <rFont val="Calibri"/>
        <family val="2"/>
        <scheme val="minor"/>
      </rPr>
      <t>2</t>
    </r>
    <r>
      <rPr>
        <sz val="11"/>
        <rFont val="Calibri"/>
        <family val="2"/>
        <scheme val="minor"/>
      </rPr>
      <t>)</t>
    </r>
    <r>
      <rPr>
        <vertAlign val="subscript"/>
        <sz val="11"/>
        <rFont val="Calibri"/>
        <family val="2"/>
        <scheme val="minor"/>
      </rPr>
      <t>3</t>
    </r>
    <r>
      <rPr>
        <sz val="11"/>
        <rFont val="Calibri"/>
        <family val="2"/>
        <scheme val="minor"/>
      </rPr>
      <t>OC</t>
    </r>
    <r>
      <rPr>
        <vertAlign val="subscript"/>
        <sz val="11"/>
        <rFont val="Calibri"/>
        <family val="2"/>
        <scheme val="minor"/>
      </rPr>
      <t>2</t>
    </r>
    <r>
      <rPr>
        <sz val="11"/>
        <rFont val="Calibri"/>
        <family val="2"/>
        <scheme val="minor"/>
      </rPr>
      <t>HF</t>
    </r>
    <r>
      <rPr>
        <vertAlign val="subscript"/>
        <sz val="11"/>
        <rFont val="Calibri"/>
        <family val="2"/>
        <scheme val="minor"/>
      </rPr>
      <t>3</t>
    </r>
    <r>
      <rPr>
        <sz val="11"/>
        <rFont val="Calibri"/>
        <family val="2"/>
        <scheme val="minor"/>
      </rPr>
      <t>COOH</t>
    </r>
  </si>
  <si>
    <t>919005-14-4</t>
  </si>
  <si>
    <t>183-228</t>
  </si>
  <si>
    <t>Other PFAS</t>
  </si>
  <si>
    <t>1,1,1-trifluoro-N-[trifluoromethyl)sulfonyl]methanesulfonamide</t>
  </si>
  <si>
    <t>TFSI</t>
  </si>
  <si>
    <t>82113-65-3</t>
  </si>
  <si>
    <t>86-115</t>
  </si>
  <si>
    <t>190-287</t>
  </si>
  <si>
    <t>Notes:</t>
  </si>
  <si>
    <t>a. Orange shading indicates a secondary reference source, including clearinghouse or chemical supply websites. These data are compiled from sources including the EPA’s computational toxicology research databases, and public domain databases such as the National Center for Biotechnology Information’s PubChem database and EPA's ECOTOX Knowledgebase. Individual values obtained from these websites have not been validated. Values from clearinghouse websites were only included when there were no peer-reviewed values available.</t>
  </si>
  <si>
    <t>b. HFPO-DA is the acid form - the ammonium salt form is commonly referred to as GenX. Both compounds are listed in the table.</t>
  </si>
  <si>
    <t>When available, data specified for branched and linear isomers were combined</t>
  </si>
  <si>
    <t>NR: Not Reported</t>
  </si>
  <si>
    <t>Type</t>
  </si>
  <si>
    <t xml:space="preserve">     E: Experimental</t>
  </si>
  <si>
    <t xml:space="preserve">     M: Modelled</t>
  </si>
  <si>
    <t xml:space="preserve">This table belongs with the ITRC PFAS Technical and Regulatory Guidance Document. The ITRC intends to update this table periodically as new information is gathered. The user is encouraged to visit the ITRC PFAS web page (http://pfas-1.itrcweb.org) to access the current version of this file. Please See ITRC Disclaimer http://pfas-1.itrcweb.org/about-itrc/#disclaimer                  </t>
  </si>
  <si>
    <t>Solubility Values for Select PFAS</t>
  </si>
  <si>
    <t>Avg. Mol. Wt. 
(g/mol)</t>
  </si>
  <si>
    <t>Acronymn</t>
  </si>
  <si>
    <t>CAS</t>
  </si>
  <si>
    <t>MW</t>
  </si>
  <si>
    <r>
      <t>Reported Value</t>
    </r>
    <r>
      <rPr>
        <b/>
        <vertAlign val="superscript"/>
        <sz val="14"/>
        <rFont val="Calibri"/>
        <family val="2"/>
      </rPr>
      <t>a</t>
    </r>
  </si>
  <si>
    <t>Reported Units</t>
  </si>
  <si>
    <t>Unit Conversions</t>
  </si>
  <si>
    <t>Temp
(°C)</t>
  </si>
  <si>
    <r>
      <t>Reference</t>
    </r>
    <r>
      <rPr>
        <b/>
        <vertAlign val="superscript"/>
        <sz val="14"/>
        <color theme="1"/>
        <rFont val="Calibri"/>
        <family val="2"/>
      </rPr>
      <t>b</t>
    </r>
  </si>
  <si>
    <r>
      <t>Reference No.</t>
    </r>
    <r>
      <rPr>
        <b/>
        <vertAlign val="superscript"/>
        <sz val="14"/>
        <color theme="1"/>
        <rFont val="Calibri"/>
        <family val="2"/>
      </rPr>
      <t>b</t>
    </r>
  </si>
  <si>
    <t>mg/L</t>
  </si>
  <si>
    <t>log -
mg/L</t>
  </si>
  <si>
    <t>mol/L</t>
  </si>
  <si>
    <t>log - 
mol/L</t>
  </si>
  <si>
    <t>EPA CompTox Dashboard</t>
  </si>
  <si>
    <t>Mt</t>
  </si>
  <si>
    <t>Me</t>
  </si>
  <si>
    <t>Ma</t>
  </si>
  <si>
    <t>Mo</t>
  </si>
  <si>
    <t>Perfluoropropanoic acid</t>
  </si>
  <si>
    <t>44864-55-3</t>
  </si>
  <si>
    <t>log-mg/L</t>
  </si>
  <si>
    <t>Mq</t>
  </si>
  <si>
    <t>Bhhatarai and Gramatica, 2011</t>
  </si>
  <si>
    <t>log-mol/L</t>
  </si>
  <si>
    <t>Mc</t>
  </si>
  <si>
    <t>Wang et al., 2011</t>
  </si>
  <si>
    <t>Ex</t>
  </si>
  <si>
    <t>Kim et al., 2015</t>
  </si>
  <si>
    <t>Kaiser et al., 2006</t>
  </si>
  <si>
    <t>g/L</t>
  </si>
  <si>
    <t>Hekster, Laane, and De Voogt, 2003</t>
  </si>
  <si>
    <t>Inoue et al., 2012</t>
  </si>
  <si>
    <t>Klevan et al., 2024</t>
  </si>
  <si>
    <t>375-73-5</t>
  </si>
  <si>
    <t>24-25</t>
  </si>
  <si>
    <t>Gomis et al., 2015</t>
  </si>
  <si>
    <t>FBSA</t>
  </si>
  <si>
    <t>FHxSA</t>
  </si>
  <si>
    <t>Liu and Lee, 2007</t>
  </si>
  <si>
    <t>ug/L</t>
  </si>
  <si>
    <t>Ellis et al., 2003</t>
  </si>
  <si>
    <t>ng/ml</t>
  </si>
  <si>
    <t>Liu and Lee, 2005</t>
  </si>
  <si>
    <r>
      <t>HFPO-DA</t>
    </r>
    <r>
      <rPr>
        <vertAlign val="superscript"/>
        <sz val="11"/>
        <rFont val="Calibri"/>
        <family val="2"/>
        <scheme val="minor"/>
      </rPr>
      <t>c</t>
    </r>
  </si>
  <si>
    <r>
      <t>GenX</t>
    </r>
    <r>
      <rPr>
        <vertAlign val="superscript"/>
        <sz val="11"/>
        <rFont val="Calibri"/>
        <family val="2"/>
        <scheme val="minor"/>
      </rPr>
      <t>c</t>
    </r>
  </si>
  <si>
    <t>GenX</t>
  </si>
  <si>
    <t>11Cl-PF3OUdS</t>
  </si>
  <si>
    <t>9Cl-PF3ONS</t>
  </si>
  <si>
    <t>TFMI</t>
  </si>
  <si>
    <t>All solubilities reported are for the compound in pure water.</t>
  </si>
  <si>
    <t>a. Care must be taken when using values of solubility for PFAAs. While efforts were taken to only report values for the acid forms of these chemicals, many references are ambiguous and values for anionic forms may be reported here.</t>
  </si>
  <si>
    <t>b. Orange shading indicates a secondary reference source, including clearinghouse or chemical supply websites. These data are compiled from sources including the EPA’s computational toxicology research databases, and public domain databases such as the National Center for Biotechnology Information’s PubChem database and EPA's ECOTOX Knowledgebase. Individual values obtained from these websites have not been validated. Values from clearinghouse websites were only included when there were no peer-reviewed values available.</t>
  </si>
  <si>
    <t>c. HFPO-DA is the acid form - the ammonium salt form is commonly referred to as GenX. Both compounds are listed in the table.</t>
  </si>
  <si>
    <t xml:space="preserve">     Ex:  Extrapolated from Measured Data</t>
  </si>
  <si>
    <t xml:space="preserve">     Mq: Modeled using a QSPR Model Based on Experimental Data</t>
  </si>
  <si>
    <t xml:space="preserve">     Me:  Modeled using EPISuite</t>
  </si>
  <si>
    <t xml:space="preserve">     Ms:  Modeled using SPARC</t>
  </si>
  <si>
    <t xml:space="preserve">     Mc:  Modeled using COSMOtherm</t>
  </si>
  <si>
    <t xml:space="preserve">     Mt: Modeled using TEST</t>
  </si>
  <si>
    <t xml:space="preserve">     Ma: Modeled using ACD/Labs</t>
  </si>
  <si>
    <t xml:space="preserve">     Mo:  Modeled using OPERA</t>
  </si>
  <si>
    <t xml:space="preserve">This table belongs with the ITRC PFAS Technical and Regulatory Guidance Document. The ITRC intends to update this table periodically as new information is gathered. The user is encouraged to visit the ITRC PFAS web page (http://pfas-1.itrcweb.org) to access the current version of this file. Please See ITRC Disclaimer http://pfas-1.itrcweb.org/about-itrc/#disclaimer         </t>
  </si>
  <si>
    <t>Vapor Pressure Values for Select PFAS</t>
  </si>
  <si>
    <r>
      <t>Reported Value</t>
    </r>
    <r>
      <rPr>
        <b/>
        <vertAlign val="superscript"/>
        <sz val="14"/>
        <color theme="1"/>
        <rFont val="Calibri"/>
        <family val="2"/>
      </rPr>
      <t>a</t>
    </r>
  </si>
  <si>
    <t>Pa</t>
  </si>
  <si>
    <t>log (Pa)</t>
  </si>
  <si>
    <t>mm Hg</t>
  </si>
  <si>
    <t>kPa</t>
  </si>
  <si>
    <t>Solomon et al., 2016</t>
  </si>
  <si>
    <t>Kwan, 2001</t>
  </si>
  <si>
    <t>log-Pa</t>
  </si>
  <si>
    <t>Jing, Rodgers, and Amemiya, 2009</t>
  </si>
  <si>
    <t>Arp, Niederer and Goss, 2006</t>
  </si>
  <si>
    <t>Ms</t>
  </si>
  <si>
    <t>Steele et al., 2002b</t>
  </si>
  <si>
    <t>Kaiser et al., 2005</t>
  </si>
  <si>
    <t>Barton et al., 2008</t>
  </si>
  <si>
    <t>George, 1979</t>
  </si>
  <si>
    <t>Lei et al., 2004</t>
  </si>
  <si>
    <t>Shoeib et al., 2004</t>
  </si>
  <si>
    <t>Stock et al., 2004</t>
  </si>
  <si>
    <t>Cobranchi et al., 2006</t>
  </si>
  <si>
    <t>ADONA</t>
  </si>
  <si>
    <t>a. Care must be taken when using values of vapor pressure for the PFAAs. While efforts were taken to only report values for the acid forms of these chemicals, many references are ambiguous and values for anionic forms may be reported here.</t>
  </si>
  <si>
    <t xml:space="preserve">This table belongs with the ITRC PFAS Technical and Regulatory Guidance Document. The ITRC intends to update this table periodically as new information is gathered. The user is encouraged to visit the ITRC PFAS web page (http://pfas-1.itrcweb.org) to access the current version of this file. Please See ITRC Disclaimer http://pfas-1.itrcweb.org/about-itrc/#disclaimer    </t>
  </si>
  <si>
    <t>Henry's Constant Values for Select PFAS</t>
  </si>
  <si>
    <r>
      <t>T 
(°C)</t>
    </r>
    <r>
      <rPr>
        <b/>
        <vertAlign val="superscript"/>
        <sz val="14"/>
        <color theme="1"/>
        <rFont val="Calibri"/>
        <family val="2"/>
      </rPr>
      <t>c</t>
    </r>
  </si>
  <si>
    <t>pH</t>
  </si>
  <si>
    <r>
      <t>Reference</t>
    </r>
    <r>
      <rPr>
        <b/>
        <vertAlign val="superscript"/>
        <sz val="14"/>
        <color theme="1"/>
        <rFont val="Calibri"/>
        <family val="2"/>
      </rPr>
      <t>d</t>
    </r>
  </si>
  <si>
    <r>
      <t>Reference No.</t>
    </r>
    <r>
      <rPr>
        <b/>
        <vertAlign val="superscript"/>
        <sz val="14"/>
        <color theme="1"/>
        <rFont val="Calibri"/>
        <family val="2"/>
        <scheme val="minor"/>
      </rPr>
      <t>d</t>
    </r>
  </si>
  <si>
    <r>
      <t>Pa-m</t>
    </r>
    <r>
      <rPr>
        <b/>
        <vertAlign val="superscript"/>
        <sz val="14"/>
        <color theme="1"/>
        <rFont val="Calibri"/>
        <family val="2"/>
        <scheme val="minor"/>
      </rPr>
      <t>3</t>
    </r>
    <r>
      <rPr>
        <b/>
        <sz val="14"/>
        <color theme="1"/>
        <rFont val="Calibri"/>
        <family val="2"/>
        <scheme val="minor"/>
      </rPr>
      <t>/mol</t>
    </r>
  </si>
  <si>
    <r>
      <t>mol/m</t>
    </r>
    <r>
      <rPr>
        <b/>
        <vertAlign val="superscript"/>
        <sz val="14"/>
        <color theme="1"/>
        <rFont val="Calibri"/>
        <family val="2"/>
        <scheme val="minor"/>
      </rPr>
      <t>3</t>
    </r>
    <r>
      <rPr>
        <b/>
        <sz val="14"/>
        <color theme="1"/>
        <rFont val="Calibri"/>
        <family val="2"/>
        <scheme val="minor"/>
      </rPr>
      <t>-Pa</t>
    </r>
  </si>
  <si>
    <r>
      <t>atm-m</t>
    </r>
    <r>
      <rPr>
        <b/>
        <vertAlign val="superscript"/>
        <sz val="14"/>
        <color theme="1"/>
        <rFont val="Calibri"/>
        <family val="2"/>
        <scheme val="minor"/>
      </rPr>
      <t>3</t>
    </r>
    <r>
      <rPr>
        <b/>
        <sz val="14"/>
        <color theme="1"/>
        <rFont val="Calibri"/>
        <family val="2"/>
        <scheme val="minor"/>
      </rPr>
      <t>/mol</t>
    </r>
  </si>
  <si>
    <r>
      <t>mol/m</t>
    </r>
    <r>
      <rPr>
        <b/>
        <vertAlign val="superscript"/>
        <sz val="14"/>
        <color theme="1"/>
        <rFont val="Calibri"/>
        <family val="2"/>
        <scheme val="minor"/>
      </rPr>
      <t>3</t>
    </r>
    <r>
      <rPr>
        <b/>
        <sz val="14"/>
        <color theme="1"/>
        <rFont val="Calibri"/>
        <family val="2"/>
        <scheme val="minor"/>
      </rPr>
      <t>-atm</t>
    </r>
  </si>
  <si>
    <r>
      <t>K</t>
    </r>
    <r>
      <rPr>
        <b/>
        <vertAlign val="subscript"/>
        <sz val="14"/>
        <color theme="1"/>
        <rFont val="Calibri"/>
        <family val="2"/>
        <scheme val="minor"/>
      </rPr>
      <t>aw</t>
    </r>
    <r>
      <rPr>
        <b/>
        <sz val="14"/>
        <color theme="1"/>
        <rFont val="Calibri"/>
        <family val="2"/>
        <scheme val="minor"/>
      </rPr>
      <t xml:space="preserve"> (Dimensionless)</t>
    </r>
  </si>
  <si>
    <r>
      <t>Log K</t>
    </r>
    <r>
      <rPr>
        <b/>
        <vertAlign val="subscript"/>
        <sz val="14"/>
        <color theme="1"/>
        <rFont val="Calibri"/>
        <family val="2"/>
        <scheme val="minor"/>
      </rPr>
      <t>aw</t>
    </r>
  </si>
  <si>
    <t>atm-m3/mol</t>
  </si>
  <si>
    <t>dimensionless</t>
  </si>
  <si>
    <t>Ellis et al., 2001</t>
  </si>
  <si>
    <t>Pa-m3/mol</t>
  </si>
  <si>
    <t>Sander, 2023</t>
  </si>
  <si>
    <t>log</t>
  </si>
  <si>
    <t>Zhang et al., 2010</t>
  </si>
  <si>
    <t>C</t>
  </si>
  <si>
    <t>Rayne and Forest, 2009a</t>
  </si>
  <si>
    <t>mol/dm3-atm</t>
  </si>
  <si>
    <t>Kutsuna and Hori, 2008</t>
  </si>
  <si>
    <t>Li et al., 2007</t>
  </si>
  <si>
    <t>Xiao, 2017</t>
  </si>
  <si>
    <t>Plassman et al., 2011</t>
  </si>
  <si>
    <t>Rayne, Forest, and Friesen, 2009</t>
  </si>
  <si>
    <t>Abusallout, 2022</t>
  </si>
  <si>
    <t>Ca</t>
  </si>
  <si>
    <t>Xie et al., 2013</t>
  </si>
  <si>
    <t>log Pa-m3/mol</t>
  </si>
  <si>
    <t>Goss et al., 2006</t>
  </si>
  <si>
    <t>Wu and Chang, 2011</t>
  </si>
  <si>
    <t xml:space="preserve">Perfluoroether carboxylate, perfluoro-2-methoxyacetic acid </t>
  </si>
  <si>
    <r>
      <t>HFPO-DA</t>
    </r>
    <r>
      <rPr>
        <vertAlign val="superscript"/>
        <sz val="11"/>
        <rFont val="Calibri"/>
        <family val="2"/>
        <scheme val="minor"/>
      </rPr>
      <t>e</t>
    </r>
  </si>
  <si>
    <r>
      <t>GenX</t>
    </r>
    <r>
      <rPr>
        <vertAlign val="superscript"/>
        <sz val="11"/>
        <rFont val="Calibri"/>
        <family val="2"/>
        <scheme val="minor"/>
      </rPr>
      <t>e</t>
    </r>
  </si>
  <si>
    <t>a. Green shading indicates that the value was determined using a sulfuric acid solution</t>
  </si>
  <si>
    <r>
      <t>b. The K</t>
    </r>
    <r>
      <rPr>
        <vertAlign val="subscript"/>
        <sz val="11"/>
        <color theme="1"/>
        <rFont val="Calibri"/>
        <family val="2"/>
      </rPr>
      <t>aw</t>
    </r>
    <r>
      <rPr>
        <sz val="11"/>
        <color theme="1"/>
        <rFont val="Calibri"/>
        <family val="2"/>
      </rPr>
      <t xml:space="preserve"> is defined as the air-water distribution ratio.</t>
    </r>
  </si>
  <si>
    <t>c. Blue shading indicates that the temperature was not reported, but assumed 25°C for conversion purposes.</t>
  </si>
  <si>
    <t>d. Orange shading indicates a secondary reference source, including clearinghouse or chemical supply websites. These data are compiled from sources including the EPA’s computational toxicology research databases, and public domain databases such as the National Center for Biotechnology Information’s PubChem database and EPA's ECOTOX Knowledgebase. Individual values obtained from these websites have not been validated. Values from clearinghouse websites were only included when there were no peer-reviewed values available.</t>
  </si>
  <si>
    <t>e. HFPO-DA is the acid form - the ammonium salt form is commonly referred to as GenX. Both compounds are listed in the table.</t>
  </si>
  <si>
    <t>When available, data specified for branched and linear isomers were combined.</t>
  </si>
  <si>
    <t xml:space="preserve">   C:  Calculated or Extrapolated from Published Data</t>
  </si>
  <si>
    <t xml:space="preserve">   Ca:  Calculated using Advanced Chemistry Development (ACD/Labs) Software</t>
  </si>
  <si>
    <t xml:space="preserve">   E: Experimental</t>
  </si>
  <si>
    <t xml:space="preserve">   M: Modeled with LFER</t>
  </si>
  <si>
    <t xml:space="preserve">   Ma: Modeled with Absolve</t>
  </si>
  <si>
    <t xml:space="preserve">   Mc: Modeled with COSMOtherm</t>
  </si>
  <si>
    <t xml:space="preserve">   Me: Modeled with EPISuite</t>
  </si>
  <si>
    <t xml:space="preserve">   Mo:  Modeled with OPERA</t>
  </si>
  <si>
    <t xml:space="preserve">   Ms: Modeled with SPARC</t>
  </si>
  <si>
    <t xml:space="preserve">This table belongs with the ITRC PFAS Technical and Regulatory Guidance Document. The ITRC intends to update this table periodically as new information is gathered. The user is encouraged to visit the ITRC PFAS web page (http://pfas-1.itrcweb.org) to access the current version of this file. Please See ITRC Disclaimer http://pfas-1.itrcweb.org/about-itrc/#disclaimer                      </t>
  </si>
  <si>
    <t>Critical Micelle Concentration Values for Select PFAS</t>
  </si>
  <si>
    <r>
      <t>Reference</t>
    </r>
    <r>
      <rPr>
        <b/>
        <vertAlign val="superscript"/>
        <sz val="14"/>
        <color theme="1"/>
        <rFont val="Calibri"/>
        <family val="2"/>
      </rPr>
      <t>a</t>
    </r>
  </si>
  <si>
    <r>
      <t>Reference No.</t>
    </r>
    <r>
      <rPr>
        <b/>
        <vertAlign val="superscript"/>
        <sz val="14"/>
        <color theme="1"/>
        <rFont val="Calibri"/>
        <family val="2"/>
        <scheme val="minor"/>
      </rPr>
      <t>a</t>
    </r>
  </si>
  <si>
    <t>log 
(mg/L)</t>
  </si>
  <si>
    <t>log 
(mol/L)</t>
  </si>
  <si>
    <t>MacManus-Spencer et al., 2010</t>
  </si>
  <si>
    <t>Lopez-Fontan, Sarmiento, and Schulz, 2005</t>
  </si>
  <si>
    <t>Yu et al., 2009</t>
  </si>
  <si>
    <t>Viada et al., 2018</t>
  </si>
  <si>
    <t>Dong et al., 2021</t>
  </si>
  <si>
    <t>Sorli et al., 2020</t>
  </si>
  <si>
    <t>Costanza, Abriola and Pennell, 2020</t>
  </si>
  <si>
    <t>Kancharla et al., 2022</t>
  </si>
  <si>
    <t>Blank cells indicate that no data are available</t>
  </si>
  <si>
    <t>NR:  Not Reported</t>
  </si>
  <si>
    <t xml:space="preserve">This table belongs with the ITRC PFAS Technical and Regulatory Guidance Document. The ITRC intends to update this table periodically as new information is gathered. The user is encouraged to visit the ITRC PFAS web page (http://pfas-1.itrcweb.org) to access the current version of this file. Please See ITRC Disclaimer http://pfas-1.itrcweb.org/about-itrc/#disclaimer   </t>
  </si>
  <si>
    <r>
      <t>Organic Carbon Normalized Sorption Coefficient (K</t>
    </r>
    <r>
      <rPr>
        <b/>
        <vertAlign val="subscript"/>
        <sz val="14"/>
        <color theme="1"/>
        <rFont val="Calibri"/>
        <family val="2"/>
        <scheme val="minor"/>
      </rPr>
      <t>oc</t>
    </r>
    <r>
      <rPr>
        <b/>
        <sz val="14"/>
        <color theme="1"/>
        <rFont val="Calibri"/>
        <family val="2"/>
        <scheme val="minor"/>
      </rPr>
      <t>) Values for Select PFAS</t>
    </r>
  </si>
  <si>
    <t>Isomer</t>
  </si>
  <si>
    <r>
      <t>Log K</t>
    </r>
    <r>
      <rPr>
        <b/>
        <vertAlign val="subscript"/>
        <sz val="14"/>
        <color theme="1"/>
        <rFont val="Calibri"/>
        <family val="2"/>
        <scheme val="minor"/>
      </rPr>
      <t>oc</t>
    </r>
    <r>
      <rPr>
        <b/>
        <sz val="14"/>
        <color theme="1"/>
        <rFont val="Calibri"/>
        <family val="2"/>
        <scheme val="minor"/>
      </rPr>
      <t xml:space="preserve"> (± St. Dev.)</t>
    </r>
  </si>
  <si>
    <t>Applicable Matrices</t>
  </si>
  <si>
    <t>Testing Conditions</t>
  </si>
  <si>
    <t>Reference</t>
  </si>
  <si>
    <r>
      <t>Reference No.</t>
    </r>
    <r>
      <rPr>
        <b/>
        <vertAlign val="superscript"/>
        <sz val="14"/>
        <rFont val="Calibri"/>
        <family val="2"/>
        <scheme val="minor"/>
      </rPr>
      <t>b</t>
    </r>
  </si>
  <si>
    <t>Not available</t>
  </si>
  <si>
    <t>--</t>
  </si>
  <si>
    <t>NA - Model</t>
  </si>
  <si>
    <t>Rayne and Forest, 2009b</t>
  </si>
  <si>
    <t>2.62 (±0.10)</t>
  </si>
  <si>
    <t>FE</t>
  </si>
  <si>
    <t>Sediment</t>
  </si>
  <si>
    <t>PFAS Mixture in Natural waters</t>
  </si>
  <si>
    <t>Zhang et al., 2012</t>
  </si>
  <si>
    <t xml:space="preserve">1.88 (±0.11) </t>
  </si>
  <si>
    <t>LE</t>
  </si>
  <si>
    <t>Soil</t>
  </si>
  <si>
    <t>PFAS Mixture in Solution</t>
  </si>
  <si>
    <t>Guelfo and Higgins, 2013</t>
  </si>
  <si>
    <t>Sum of all isomers</t>
  </si>
  <si>
    <t>4.3  (±0.3)</t>
  </si>
  <si>
    <t>Munoz, Budzinski, and Labadie, 2017</t>
  </si>
  <si>
    <t>-0.8 to 1.3</t>
  </si>
  <si>
    <t>Pereira et al., 2018</t>
  </si>
  <si>
    <t xml:space="preserve">2.76 </t>
  </si>
  <si>
    <t>FM</t>
  </si>
  <si>
    <t>Anderson, Adamson, and Stroo, 2019</t>
  </si>
  <si>
    <t>1.4 to 1.5</t>
  </si>
  <si>
    <t>Mussabek, Ahrens, Persson, and Berndtsson, 2019</t>
  </si>
  <si>
    <t>1.70 (±0.02) to 2.11 (±0.05)</t>
  </si>
  <si>
    <t>PFAS Single Chemical in Solution</t>
  </si>
  <si>
    <t>Zhao et al., 2012</t>
  </si>
  <si>
    <t>2.54 (±0.51)</t>
  </si>
  <si>
    <t>1.37 (±0.46)</t>
  </si>
  <si>
    <t>4.2 (±0.2)</t>
  </si>
  <si>
    <t>2.17 (±0.77)</t>
  </si>
  <si>
    <t>Weber et al., 2017</t>
  </si>
  <si>
    <t>0.7 to 1.7</t>
  </si>
  <si>
    <t xml:space="preserve">2.59 </t>
  </si>
  <si>
    <t xml:space="preserve">2.1 (±0.2) </t>
  </si>
  <si>
    <t>Labadie and Chevreuil, 2011</t>
  </si>
  <si>
    <t>2.72 (±0.40)</t>
  </si>
  <si>
    <t>1.31  (±0.29)</t>
  </si>
  <si>
    <t>1.99 (±0.61) to 2.26 (±0.53)</t>
  </si>
  <si>
    <t>Sediment &amp; Suspended Particulate Matter</t>
  </si>
  <si>
    <t>Chen et al., 2015</t>
  </si>
  <si>
    <t>1.83</t>
  </si>
  <si>
    <t>D'Agostino and Mabury, 2017</t>
  </si>
  <si>
    <t>2.56 (±0.17)</t>
  </si>
  <si>
    <t>0.2 to 1.8</t>
  </si>
  <si>
    <t>0.9 to 1.0</t>
  </si>
  <si>
    <t>2.52</t>
  </si>
  <si>
    <t>1.93 (±2.4)</t>
  </si>
  <si>
    <t>Langburg et al., 2020</t>
  </si>
  <si>
    <t>1.63 to 2.34</t>
  </si>
  <si>
    <t>3M company, 2021</t>
  </si>
  <si>
    <t>2.69 to 4.70</t>
  </si>
  <si>
    <t xml:space="preserve">-0.20 to 0.56 </t>
  </si>
  <si>
    <t>Enevoldsen and Juhler, 2010</t>
  </si>
  <si>
    <t>2.9 (±0.002)</t>
  </si>
  <si>
    <t>Ahrens et al., 2010</t>
  </si>
  <si>
    <t>2.1  (±0.2)</t>
  </si>
  <si>
    <t>2.62 (±0.21)</t>
  </si>
  <si>
    <t>1.72 (±0.01) to 2.05(±0.02)</t>
  </si>
  <si>
    <t>1.63  (±0.15)</t>
  </si>
  <si>
    <t>2.0 (±0.62) to 2.53 (±0.36)</t>
  </si>
  <si>
    <t>3.2 (±0.4) to 3.3</t>
  </si>
  <si>
    <t>Munoz et al., 2015</t>
  </si>
  <si>
    <t>4.5 (±0.3)</t>
  </si>
  <si>
    <t>2.76 (±0.09)</t>
  </si>
  <si>
    <t>1.1-2.1</t>
  </si>
  <si>
    <t>3.7 (±0.4)</t>
  </si>
  <si>
    <t>Munoz et al., 2019</t>
  </si>
  <si>
    <t xml:space="preserve">2.73 </t>
  </si>
  <si>
    <t>1.36 (±2.4)</t>
  </si>
  <si>
    <t>1.52 to 2.82</t>
  </si>
  <si>
    <t xml:space="preserve">2.06 to 2.11 </t>
  </si>
  <si>
    <t>Higgins and Luthy, 2006</t>
  </si>
  <si>
    <t xml:space="preserve">1.9 (±0.1) to 3.5 (±0.1) </t>
  </si>
  <si>
    <t>0.041 to 1.6</t>
  </si>
  <si>
    <t xml:space="preserve">2.63 (±0.34) </t>
  </si>
  <si>
    <t>Kwadijk, Korytár, and Koelmans, 2010</t>
  </si>
  <si>
    <t>2.4 (±0.12)</t>
  </si>
  <si>
    <t>Ahrens et al., 2011</t>
  </si>
  <si>
    <t xml:space="preserve">2.63 (±0.45) </t>
  </si>
  <si>
    <t>2.09 (±0.01) to 2.17 (±0.01)</t>
  </si>
  <si>
    <t>3.3 (±0.3)</t>
  </si>
  <si>
    <t>Nguyen et al., 2012</t>
  </si>
  <si>
    <t>1.99 to 2.65</t>
  </si>
  <si>
    <t>Chen et al., 2013</t>
  </si>
  <si>
    <t>1.89 (±0.02)</t>
  </si>
  <si>
    <t>linear</t>
  </si>
  <si>
    <t xml:space="preserve">3.11 (±0.38) </t>
  </si>
  <si>
    <t>3.68 (±0.81)</t>
  </si>
  <si>
    <t>Suspended Particulate Matter</t>
  </si>
  <si>
    <t>branched (multiple)</t>
  </si>
  <si>
    <t>2.77 (±0.53) to 2.96 (±0.48)</t>
  </si>
  <si>
    <t>2.44 (±0.78) to 3.11 (±0.79)</t>
  </si>
  <si>
    <t xml:space="preserve">1.98 (±0.06) </t>
  </si>
  <si>
    <t>Milinovic et al., 2015</t>
  </si>
  <si>
    <t>2.9 to 3.0 (±0.6)</t>
  </si>
  <si>
    <t xml:space="preserve">3.4 (±0.2) </t>
  </si>
  <si>
    <t>Nguyen et al., 2016</t>
  </si>
  <si>
    <t>2.82</t>
  </si>
  <si>
    <t>2.61 (±0.69)</t>
  </si>
  <si>
    <t>5.0 (±0.5)</t>
  </si>
  <si>
    <t>1.7 to 2.9</t>
  </si>
  <si>
    <t>2.77 (±0.2) to 3.21 (±0.2)</t>
  </si>
  <si>
    <t>Xiang et al., 2018</t>
  </si>
  <si>
    <t>2.92</t>
  </si>
  <si>
    <t>4.1 (±0.2)</t>
  </si>
  <si>
    <t>2.15 (±2.4)</t>
  </si>
  <si>
    <t>1.85 to 3.77</t>
  </si>
  <si>
    <t>2.39 (±0.09) to 2.50 (±0.12)</t>
  </si>
  <si>
    <t xml:space="preserve">0.62 to 1.9 </t>
  </si>
  <si>
    <t>3.69 (±0.52)</t>
  </si>
  <si>
    <t>2.4 (±0.1) to 4.0 (±0.1)</t>
  </si>
  <si>
    <t>2.9 (±0.1)</t>
  </si>
  <si>
    <t>2.75 (±0.22)</t>
  </si>
  <si>
    <t>2.35 (±0.01) to 2.50 (±0.01)</t>
  </si>
  <si>
    <t>2.36 (±0.04)</t>
  </si>
  <si>
    <t>3.71 (±0.51) to 3.87 (± 0.46)</t>
  </si>
  <si>
    <t>3.3 to 3.6 (±0.5)</t>
  </si>
  <si>
    <t>4.0 (±0.3)</t>
  </si>
  <si>
    <t>2.82 (±0.01)</t>
  </si>
  <si>
    <t>5.4 (±0.5)</t>
  </si>
  <si>
    <t>2.4 to 3.9</t>
  </si>
  <si>
    <t xml:space="preserve">3.60 </t>
  </si>
  <si>
    <t>4.6 (±0.2)</t>
  </si>
  <si>
    <t>2.83 (±2.6)</t>
  </si>
  <si>
    <t>2.39 to 2.50</t>
  </si>
  <si>
    <t>2.76 (±0.11) to 2.92 (±0.04)</t>
  </si>
  <si>
    <t xml:space="preserve">1.5 to 2.2 </t>
  </si>
  <si>
    <t>3.6 (±0.1) to 4.6 (±0.1)</t>
  </si>
  <si>
    <t>3.8 (±0.2)</t>
  </si>
  <si>
    <t>2.78 (±0.06) to 3.23 (±0.07)</t>
  </si>
  <si>
    <t>3.05 (±0.30)</t>
  </si>
  <si>
    <t>3.4 (±0.4)</t>
  </si>
  <si>
    <t>2.96 (±0.15)</t>
  </si>
  <si>
    <t>4.29 (±0.47) to 4.47 (±0.48)</t>
  </si>
  <si>
    <t>3.3 to 3.7 (±0.6)</t>
  </si>
  <si>
    <t>4.6 (±0.3)</t>
  </si>
  <si>
    <t xml:space="preserve">5.5 (±0.1) </t>
  </si>
  <si>
    <t>3.39 (±0.02)</t>
  </si>
  <si>
    <t>3.7 to 5.5</t>
  </si>
  <si>
    <t>5.1 (±0.2)</t>
  </si>
  <si>
    <t xml:space="preserve">3.75 </t>
  </si>
  <si>
    <t>3.34 (±3.0)</t>
  </si>
  <si>
    <t xml:space="preserve">3.30 (±0.11) to 3.47 (±0.04)  </t>
  </si>
  <si>
    <t>4.8 (±0.2) to 5.1 (±0.1)</t>
  </si>
  <si>
    <t>4.7 (±0.1)</t>
  </si>
  <si>
    <t>4.2 (±0.5)</t>
  </si>
  <si>
    <t>3.28 (±0.21)</t>
  </si>
  <si>
    <t>3.56</t>
  </si>
  <si>
    <t>4.73 (±0.47) to 4.76 (±0.46)</t>
  </si>
  <si>
    <t>3.9 to 4.1 (±0.6)</t>
  </si>
  <si>
    <t>4.9 (±0.4)</t>
  </si>
  <si>
    <t>5.6 (±0.1)</t>
  </si>
  <si>
    <t>4.31 (±0.08)</t>
  </si>
  <si>
    <t xml:space="preserve">3.9 to 5.8 </t>
  </si>
  <si>
    <t xml:space="preserve">3.91 </t>
  </si>
  <si>
    <t>5.4 (±0.3)</t>
  </si>
  <si>
    <t>3.19 to 3.41</t>
  </si>
  <si>
    <t>5.6 (±0.2)</t>
  </si>
  <si>
    <t>3.57 (±0.25)</t>
  </si>
  <si>
    <t>4.4 (±0.2)</t>
  </si>
  <si>
    <t>3.65 (±0.06) to 3.80 (±0.02)</t>
  </si>
  <si>
    <t>4.93 (±0.54) to 5.01 (±0.30)</t>
  </si>
  <si>
    <t>3.6 to 3.8 (± 0.6)</t>
  </si>
  <si>
    <t xml:space="preserve">3.8 to 5.5 </t>
  </si>
  <si>
    <t xml:space="preserve">3.86 </t>
  </si>
  <si>
    <t>5.2</t>
  </si>
  <si>
    <t xml:space="preserve">3.71 </t>
  </si>
  <si>
    <t>3.7 to 5.2</t>
  </si>
  <si>
    <t>3.68</t>
  </si>
  <si>
    <t xml:space="preserve">-0.70 to 0.080 </t>
  </si>
  <si>
    <t>1.75 (±0.01) to 2.09 (±0.02)</t>
  </si>
  <si>
    <t>1.79 (±0.10)</t>
  </si>
  <si>
    <t>1.62 (±0.37) to 1.79 (±0.80)</t>
  </si>
  <si>
    <t>1.22 (±0.04)</t>
  </si>
  <si>
    <t>3.2 (±0.3)</t>
  </si>
  <si>
    <t xml:space="preserve">-0.7 to 2.2 </t>
  </si>
  <si>
    <t xml:space="preserve">2.55 </t>
  </si>
  <si>
    <t>0.8 to 0.9</t>
  </si>
  <si>
    <t>3.6 (±0.1) to 3.7 (±0.3)</t>
  </si>
  <si>
    <t>2.2 (±0.1)</t>
  </si>
  <si>
    <t>2.02 (±0.01) to 2.1 4 (±0.02)</t>
  </si>
  <si>
    <t>4.5 (±0.2)</t>
  </si>
  <si>
    <t>2.05 (±0.08)</t>
  </si>
  <si>
    <t>2.28 (±0.81) to 2.29 (±0.49)</t>
  </si>
  <si>
    <t>2.5 to 2.9 (±0.6)</t>
  </si>
  <si>
    <t>3.0 (±0.2)</t>
  </si>
  <si>
    <t>2.4 (±0.27)</t>
  </si>
  <si>
    <t>4.1 (±0.3)</t>
  </si>
  <si>
    <t>2.32 (±0.15)</t>
  </si>
  <si>
    <t>1.7 to  4.1</t>
  </si>
  <si>
    <t>2.66</t>
  </si>
  <si>
    <t>1.15 to 1.2</t>
  </si>
  <si>
    <t>3.7 (±0.3)</t>
  </si>
  <si>
    <t>2.40</t>
  </si>
  <si>
    <t>2.9  (±0.1)</t>
  </si>
  <si>
    <t>3.7 (±0.3) to 4.1</t>
  </si>
  <si>
    <t>4.5 (±0.4)</t>
  </si>
  <si>
    <t>4.3 (±0.3)</t>
  </si>
  <si>
    <t xml:space="preserve">2.57 (±0.13) to 2.68 (±0.09) </t>
  </si>
  <si>
    <t>2.4-2.6</t>
  </si>
  <si>
    <t>Soil Components &amp; Sediment</t>
  </si>
  <si>
    <t>Johnson et al., 2007</t>
  </si>
  <si>
    <t>3.13</t>
  </si>
  <si>
    <t>Soil &amp; Soil Components</t>
  </si>
  <si>
    <t>Chen et al., 2009</t>
  </si>
  <si>
    <t>1.2 to 2.0</t>
  </si>
  <si>
    <t>3.16 (±0.28)</t>
  </si>
  <si>
    <t>3.8 (±0.1) to 4.8 (±0.1)</t>
  </si>
  <si>
    <t>3.7 (±0.56)</t>
  </si>
  <si>
    <t>3.7 (±0.2)</t>
  </si>
  <si>
    <t>3.35 (±0.32)</t>
  </si>
  <si>
    <t>2.68 (±0.01) to 2.97 (0.03)</t>
  </si>
  <si>
    <t>2.80 (±0.08)</t>
  </si>
  <si>
    <t>2.81  to 3.15</t>
  </si>
  <si>
    <t>3.38 (±0.43)</t>
  </si>
  <si>
    <t>4.03 (±0.56)</t>
  </si>
  <si>
    <t>2.22 (±0.64) to 3.17 (±0.51)</t>
  </si>
  <si>
    <t>2.47 (±0.98) to 3.42 (±0.75)</t>
  </si>
  <si>
    <t>2.85 (±0.05)</t>
  </si>
  <si>
    <t>3.0 (±0.7)</t>
  </si>
  <si>
    <t>3.4 (±0.8)</t>
  </si>
  <si>
    <t>3.9 (±0.2)</t>
  </si>
  <si>
    <t>3.41</t>
  </si>
  <si>
    <t>3.67 (±0.28)</t>
  </si>
  <si>
    <t>3.37 (±0.27)</t>
  </si>
  <si>
    <t>5.2 (±0.5)  to 5.6 (±0.5)</t>
  </si>
  <si>
    <t>3.9 to 5.3</t>
  </si>
  <si>
    <t>2.27 to 2.31</t>
  </si>
  <si>
    <t>3.58</t>
  </si>
  <si>
    <t>4.7 (±0.2) to 5.0 (±0.2)</t>
  </si>
  <si>
    <t>3.29 (±2.7)</t>
  </si>
  <si>
    <t>2.6 to 3.5</t>
  </si>
  <si>
    <t>Aquifer Sediment</t>
  </si>
  <si>
    <t>Wang et al., 2021</t>
  </si>
  <si>
    <t>3.53 (±0.12) to 3.66 (±0.05)</t>
  </si>
  <si>
    <t>3.63</t>
  </si>
  <si>
    <t>4.03</t>
  </si>
  <si>
    <t>0.75</t>
  </si>
  <si>
    <t xml:space="preserve">4.8 (±0.3) </t>
  </si>
  <si>
    <t>2.2 (±0.6)</t>
  </si>
  <si>
    <t>4.9  (±0.5)</t>
  </si>
  <si>
    <t>2.62 (±1.01)</t>
  </si>
  <si>
    <t xml:space="preserve">4.0 (±0.2) </t>
  </si>
  <si>
    <t xml:space="preserve">2.80 </t>
  </si>
  <si>
    <t>3.65 (±0.54)</t>
  </si>
  <si>
    <t>3.77</t>
  </si>
  <si>
    <t>4.3 (±0.2) to 4.5 (±0.1)</t>
  </si>
  <si>
    <t xml:space="preserve">4.1 (±0.35) </t>
  </si>
  <si>
    <t>4.18 (±0.54) to 4.28 (±0.71)</t>
  </si>
  <si>
    <t>3.3 to 3.5 (±0.5)</t>
  </si>
  <si>
    <t>5.3 (±0.3)</t>
  </si>
  <si>
    <t>4.86</t>
  </si>
  <si>
    <t>4.3-6.0</t>
  </si>
  <si>
    <t xml:space="preserve">4.07 </t>
  </si>
  <si>
    <t xml:space="preserve">5.3 (±0.2) </t>
  </si>
  <si>
    <t>4.63 (±4.9)</t>
  </si>
  <si>
    <t>4.10</t>
  </si>
  <si>
    <t>3.9 (±0.3)</t>
  </si>
  <si>
    <t>3.95</t>
  </si>
  <si>
    <t>3.11 (±0.16) to 3.35 (±0.07)</t>
  </si>
  <si>
    <t xml:space="preserve">3.23 (±0.18) to 3.49 (±0.07) </t>
  </si>
  <si>
    <t>4.8 (±0.1)</t>
  </si>
  <si>
    <t>4.8 (±0.3)</t>
  </si>
  <si>
    <t>4.4 (±0.3)</t>
  </si>
  <si>
    <t>4.33</t>
  </si>
  <si>
    <t>0.933</t>
  </si>
  <si>
    <t>Soils</t>
  </si>
  <si>
    <t>2.34-2.83</t>
  </si>
  <si>
    <t>2.43 (±0.12)</t>
  </si>
  <si>
    <t>4.13 (±0.16)</t>
  </si>
  <si>
    <t>6.20 (±0.18)</t>
  </si>
  <si>
    <t>1.05</t>
  </si>
  <si>
    <t>1.92</t>
  </si>
  <si>
    <t>1.1</t>
  </si>
  <si>
    <t>1.66</t>
  </si>
  <si>
    <t>Sand</t>
  </si>
  <si>
    <t>Yan, 2020</t>
  </si>
  <si>
    <t>1.40</t>
  </si>
  <si>
    <t>1.32</t>
  </si>
  <si>
    <t>Eustis soil</t>
  </si>
  <si>
    <t>4.47</t>
  </si>
  <si>
    <t>3.73</t>
  </si>
  <si>
    <t>1.78</t>
  </si>
  <si>
    <r>
      <t>K</t>
    </r>
    <r>
      <rPr>
        <vertAlign val="subscript"/>
        <sz val="11"/>
        <color theme="1"/>
        <rFont val="Calibri"/>
        <family val="2"/>
      </rPr>
      <t>oc</t>
    </r>
    <r>
      <rPr>
        <sz val="11"/>
        <color theme="1"/>
        <rFont val="Calibri"/>
        <family val="2"/>
      </rPr>
      <t xml:space="preserve"> does not directly capture any contributions from electrostatic interactions, meaning that estimating retardation in groundwater by measuring the fraction of organic carbon (f</t>
    </r>
    <r>
      <rPr>
        <vertAlign val="subscript"/>
        <sz val="11"/>
        <color theme="1"/>
        <rFont val="Calibri"/>
        <family val="2"/>
      </rPr>
      <t>oc</t>
    </r>
    <r>
      <rPr>
        <sz val="11"/>
        <color theme="1"/>
        <rFont val="Calibri"/>
        <family val="2"/>
      </rPr>
      <t>) in soil in combination with a literature-derived K</t>
    </r>
    <r>
      <rPr>
        <vertAlign val="subscript"/>
        <sz val="11"/>
        <color theme="1"/>
        <rFont val="Calibri"/>
        <family val="2"/>
      </rPr>
      <t>oc</t>
    </r>
    <r>
      <rPr>
        <sz val="11"/>
        <color theme="1"/>
        <rFont val="Calibri"/>
        <family val="2"/>
      </rPr>
      <t xml:space="preserve"> value may not always accurately represent retardation.</t>
    </r>
  </si>
  <si>
    <t xml:space="preserve">     L:  Laboratory-Derived</t>
  </si>
  <si>
    <t xml:space="preserve">     F: Field-Derived</t>
  </si>
  <si>
    <t xml:space="preserve">     M:  Modeled</t>
  </si>
  <si>
    <t xml:space="preserve">This table belongs with the ITRC PFAS Technical and Regulatory Guidance Document. The ITRC intends to update this table periodically as new information is gathered. The user is encouraged to visit the ITRC PFAS web page (http://pfas-1.itrcweb.org) to access the current version of this file. Please See ITRC Disclaimer http://pfas-1.itrcweb.org/about-itrc/#disclaimer                    </t>
  </si>
  <si>
    <t>pKa Values for Select PFAS</t>
  </si>
  <si>
    <t>Henne and Fox, 1951</t>
  </si>
  <si>
    <t>Goss, 2008</t>
  </si>
  <si>
    <t>Moroi et al., 2001</t>
  </si>
  <si>
    <t>&lt;1.6</t>
  </si>
  <si>
    <t>Vierke, Berger, and Cousins, 2013</t>
  </si>
  <si>
    <t>Steinle-Darling and Reinhard, 2008</t>
  </si>
  <si>
    <t>Cabala, Nesmerak, and Vlasakova, 2017</t>
  </si>
  <si>
    <t>2.26</t>
  </si>
  <si>
    <t>Kim, Li, and Kannan, 2019</t>
  </si>
  <si>
    <t>&lt;1.0</t>
  </si>
  <si>
    <t>Cheng et al., 2009</t>
  </si>
  <si>
    <t>&lt;0.3</t>
  </si>
  <si>
    <t>&lt;1</t>
  </si>
  <si>
    <t>Hopkins et al., 2018</t>
  </si>
  <si>
    <t>Baggioli, Sansotera, and Navarrini, 2018</t>
  </si>
  <si>
    <t xml:space="preserve">     Mo: Modeled using OPERA</t>
  </si>
  <si>
    <t>Biotransformation Rates for Select PFAS</t>
  </si>
  <si>
    <t>Parent Name (§)</t>
  </si>
  <si>
    <r>
      <t>Charge Characteristics</t>
    </r>
    <r>
      <rPr>
        <b/>
        <vertAlign val="superscript"/>
        <sz val="14"/>
        <rFont val="Calibri"/>
        <family val="2"/>
      </rPr>
      <t>b</t>
    </r>
  </si>
  <si>
    <r>
      <t>Avg. Mol. Wt. 
(g/mol)</t>
    </r>
    <r>
      <rPr>
        <b/>
        <vertAlign val="superscript"/>
        <sz val="14"/>
        <color theme="1"/>
        <rFont val="Calibri"/>
        <family val="2"/>
      </rPr>
      <t>c</t>
    </r>
  </si>
  <si>
    <r>
      <t>Intermediate Metabolites</t>
    </r>
    <r>
      <rPr>
        <b/>
        <vertAlign val="superscript"/>
        <sz val="14"/>
        <color theme="1"/>
        <rFont val="Calibri"/>
        <family val="2"/>
      </rPr>
      <t>d,f</t>
    </r>
  </si>
  <si>
    <r>
      <t>Daughter Product</t>
    </r>
    <r>
      <rPr>
        <b/>
        <vertAlign val="superscript"/>
        <sz val="14"/>
        <color theme="1"/>
        <rFont val="Calibri"/>
        <family val="2"/>
      </rPr>
      <t>d,e</t>
    </r>
  </si>
  <si>
    <r>
      <t>Downstream Metabolites</t>
    </r>
    <r>
      <rPr>
        <b/>
        <vertAlign val="superscript"/>
        <sz val="14"/>
        <color theme="1"/>
        <rFont val="Calibri"/>
        <family val="2"/>
      </rPr>
      <t>d,g</t>
    </r>
  </si>
  <si>
    <r>
      <t>Terminal Products</t>
    </r>
    <r>
      <rPr>
        <b/>
        <vertAlign val="superscript"/>
        <sz val="14"/>
        <color theme="1"/>
        <rFont val="Calibri"/>
        <family val="2"/>
      </rPr>
      <t>d,h</t>
    </r>
  </si>
  <si>
    <t>Matrix</t>
  </si>
  <si>
    <t>Assay Length (d)</t>
  </si>
  <si>
    <t>Geochemical Condition</t>
  </si>
  <si>
    <r>
      <t>Type</t>
    </r>
    <r>
      <rPr>
        <b/>
        <vertAlign val="superscript"/>
        <sz val="14"/>
        <color theme="1"/>
        <rFont val="Calibri"/>
        <family val="2"/>
      </rPr>
      <t>i</t>
    </r>
  </si>
  <si>
    <r>
      <t>Reported Kinetics Data</t>
    </r>
    <r>
      <rPr>
        <b/>
        <vertAlign val="superscript"/>
        <sz val="14"/>
        <rFont val="Calibri"/>
        <family val="2"/>
        <scheme val="minor"/>
      </rPr>
      <t>j,m</t>
    </r>
  </si>
  <si>
    <t>First Order Kinetics Estimates</t>
  </si>
  <si>
    <t>Reference No.</t>
  </si>
  <si>
    <t>Value Type</t>
  </si>
  <si>
    <r>
      <t>Reported Value</t>
    </r>
    <r>
      <rPr>
        <b/>
        <vertAlign val="superscript"/>
        <sz val="14"/>
        <color theme="1"/>
        <rFont val="Calibri"/>
        <family val="2"/>
      </rPr>
      <t>k,l</t>
    </r>
  </si>
  <si>
    <t>Half-Life (d)</t>
  </si>
  <si>
    <r>
      <t>Rate Constant (d</t>
    </r>
    <r>
      <rPr>
        <b/>
        <vertAlign val="superscript"/>
        <sz val="14"/>
        <color theme="1"/>
        <rFont val="Calibri"/>
        <family val="2"/>
      </rPr>
      <t>-1</t>
    </r>
    <r>
      <rPr>
        <b/>
        <sz val="14"/>
        <color theme="1"/>
        <rFont val="Calibri"/>
        <family val="2"/>
      </rPr>
      <t>)</t>
    </r>
  </si>
  <si>
    <t>Perfluoroalkyl Acids</t>
  </si>
  <si>
    <t>PFAAs</t>
  </si>
  <si>
    <t>Anion</t>
  </si>
  <si>
    <t>None</t>
  </si>
  <si>
    <t>Perfluorooctane</t>
  </si>
  <si>
    <t>Perfluorooctanol, 
PFHpA</t>
  </si>
  <si>
    <t>Antarctic marine bacterial consortium</t>
  </si>
  <si>
    <t>Aerobic</t>
  </si>
  <si>
    <t>EB</t>
  </si>
  <si>
    <t>Half-Life</t>
  </si>
  <si>
    <t>h</t>
  </si>
  <si>
    <t>Cerro-Galvez et al., 2020</t>
  </si>
  <si>
    <t>Wastewater sludge</t>
  </si>
  <si>
    <t>Anaerobic</t>
  </si>
  <si>
    <t>NDO</t>
  </si>
  <si>
    <t>Ochoa-Hererra et al., 2016</t>
  </si>
  <si>
    <t>Trifluoroacetic acid</t>
  </si>
  <si>
    <t xml:space="preserve">6:2 FTUA (0.3%);
5:3 Acid (0.2%),
5:2 sFTOH (12.8%) </t>
  </si>
  <si>
    <t>PFBA (1.3%),
PFPeA (7.0%),
PFHxA (5.3%), 
PFHpA (0.2%)</t>
  </si>
  <si>
    <t>Soil (Loring)</t>
  </si>
  <si>
    <t>d</t>
  </si>
  <si>
    <t>Yan et al., 2024</t>
  </si>
  <si>
    <t>Not given</t>
  </si>
  <si>
    <t>5:3 Acid (16%),
PFPeA (21%),
PFHxA (20%),
PFHpA (0.55%)</t>
  </si>
  <si>
    <t>River Sediment</t>
  </si>
  <si>
    <t>20-25</t>
  </si>
  <si>
    <t>Zhang et al., 2016</t>
  </si>
  <si>
    <t>5:3 FTCA (0.2%)</t>
  </si>
  <si>
    <t>5:2 sFTOH (0.6%)</t>
  </si>
  <si>
    <t>PFBA (0.6%), 
PFPeA (5.6%), 
PFHxA (3.1%)</t>
  </si>
  <si>
    <t>Sediment with Landfill Leachate</t>
  </si>
  <si>
    <t>Hamid et al., 2020b</t>
  </si>
  <si>
    <t>PFBA, 
PFPeA, 
PFHxA, 
PFHpA, 
PFOA</t>
  </si>
  <si>
    <t>Sediment  + DI water</t>
  </si>
  <si>
    <t>Hamid et al., 2020a</t>
  </si>
  <si>
    <t>Sediment with Diluted Landfill Leachate</t>
  </si>
  <si>
    <t>PFBA, 
PFPeA, 
PFHxA,
PFHpA, 
PFOA</t>
  </si>
  <si>
    <t>6:2 FTOH,
6:2 FTUSA,
OH-6:2 FTSA</t>
  </si>
  <si>
    <t>6:2 FTCA, 
6:2 FTUCA, 
5:3 FTCA, 
5:2 FTUCA</t>
  </si>
  <si>
    <t>PFBA, 
PFPeA, 
PFHxA,
PFHpA, 
4:2 FTUCA</t>
  </si>
  <si>
    <t>Activated Sludge</t>
  </si>
  <si>
    <t>Fang et al., 2024b</t>
  </si>
  <si>
    <t>6:2 FTUSA</t>
  </si>
  <si>
    <t>Ketone-6:2 FTSA, 
OH-6:2 FTSA</t>
  </si>
  <si>
    <t>PFHpA (2.3%), 
PFHxA (4.3%), 
PFPeA (0.9%), 
PFBA (0.6%)</t>
  </si>
  <si>
    <t>Wetland Soil</t>
  </si>
  <si>
    <t>Fang et al., 2024a</t>
  </si>
  <si>
    <t>PFHpA (3.0%), 
PFHxA (6.8%), 
PFPeA (2.8%), 
PFBA (0.8%)</t>
  </si>
  <si>
    <t>Wetland Soil with Sodium Acetate</t>
  </si>
  <si>
    <t>Neutral</t>
  </si>
  <si>
    <t>PFOSI</t>
  </si>
  <si>
    <t>Rate Constant</t>
  </si>
  <si>
    <t>1/d</t>
  </si>
  <si>
    <t>Rhoads et al., 2008</t>
  </si>
  <si>
    <t>Farm Soil</t>
  </si>
  <si>
    <t>Zhang et al., 2017b</t>
  </si>
  <si>
    <t>Forest Soil</t>
  </si>
  <si>
    <t>Liu et al., 2019</t>
  </si>
  <si>
    <t>FOSAA/FOSA</t>
  </si>
  <si>
    <t>FOSAA (5%)</t>
  </si>
  <si>
    <t>FOSA  (37%),
PFOSI</t>
  </si>
  <si>
    <t>PFOS (34%)</t>
  </si>
  <si>
    <t>Soil-Carrot Microcosm</t>
  </si>
  <si>
    <t>Zabaleta et al., 2018</t>
  </si>
  <si>
    <t>FOSAA (8%)</t>
  </si>
  <si>
    <t>FOSA  (59%),
PFOSI</t>
  </si>
  <si>
    <t>PFOS (24%)</t>
  </si>
  <si>
    <t>4151-50-2
(branched isomer)</t>
  </si>
  <si>
    <t>FOSA
PFOS</t>
  </si>
  <si>
    <t>4151-50-2
(linear isomer)</t>
  </si>
  <si>
    <t>FOSAA (12%)</t>
  </si>
  <si>
    <t>FOSA (3.6%),
PFOS (7.9%)</t>
  </si>
  <si>
    <t>FOSA</t>
  </si>
  <si>
    <t>EtFOSAA (&lt;4%)</t>
  </si>
  <si>
    <t>EtFOSA,
FOSAA (34.2%),
 FOSA (30.3%),
PFOSI</t>
  </si>
  <si>
    <t>PFOS (4%)</t>
  </si>
  <si>
    <t>Mejia Avendaño et al., 2015</t>
  </si>
  <si>
    <t>Perfluorooctaneamido quaternary ammonium salt</t>
  </si>
  <si>
    <t>PFOAAmS</t>
  </si>
  <si>
    <t>Cation</t>
  </si>
  <si>
    <t>45305-66-6</t>
  </si>
  <si>
    <t>PFOA (30%)</t>
  </si>
  <si>
    <t>Mejia Avendaño et al., 2016</t>
  </si>
  <si>
    <t>N-Methyl perfluorobutane sulfonamidoethanol</t>
  </si>
  <si>
    <t>MeFBSE</t>
  </si>
  <si>
    <t>34454-97-2</t>
  </si>
  <si>
    <t>MeFBSAA</t>
  </si>
  <si>
    <t>PFBSI</t>
  </si>
  <si>
    <t>Sludge</t>
  </si>
  <si>
    <t>Lange, 2018</t>
  </si>
  <si>
    <t>EtFOSAA (31%)</t>
  </si>
  <si>
    <t>EtFOSA  (1.7%),
FOSA (0.21%),
FOSAA (0.43%)</t>
  </si>
  <si>
    <t>PFOS (0.44%)</t>
  </si>
  <si>
    <t>Marine Sediment</t>
  </si>
  <si>
    <t>Benskin et al., 2013</t>
  </si>
  <si>
    <t>EtFOSAA (39%)</t>
  </si>
  <si>
    <t>EtFOSA  (39%),
FOSA (2.8%),
FOSAA (2.8%)</t>
  </si>
  <si>
    <t>PFOS (12%)</t>
  </si>
  <si>
    <t>EtFOSA  (0.1%),
FOSA (5%),
FOSAA (48.9%),
PFOSI (3.5%)</t>
  </si>
  <si>
    <t>PFOS (7%),
PFOA (0.6%)</t>
  </si>
  <si>
    <t>Lange, 2000</t>
  </si>
  <si>
    <t>1691-99-2
(branched isomer)</t>
  </si>
  <si>
    <t>EtFOSA,
FOSA</t>
  </si>
  <si>
    <t>FOSAA,
PFOS</t>
  </si>
  <si>
    <t>1691-99-2
(linear isomer)</t>
  </si>
  <si>
    <t>EtFOSAA (49%)</t>
  </si>
  <si>
    <t>EtFOSA (0.5%),
FOSA (12%)</t>
  </si>
  <si>
    <t>FOSAA (3.6%),
PFOS (7.9%)</t>
  </si>
  <si>
    <t>EtFOSA, 
FOSAA,
FOSA,
PFOSI</t>
  </si>
  <si>
    <t>Activated Sludge Bioreactor</t>
  </si>
  <si>
    <t>Rhoads et al., 2013</t>
  </si>
  <si>
    <t>EtFOSA,
FOSAA,
FOSA</t>
  </si>
  <si>
    <t>PFOS (5.49%)</t>
  </si>
  <si>
    <t>PFOS (1.06%)</t>
  </si>
  <si>
    <t>Liu et al., 2021</t>
  </si>
  <si>
    <t>EtFOSA</t>
  </si>
  <si>
    <t>FOSAA,
FOSA,
PFOSI</t>
  </si>
  <si>
    <t>FOSAA,
FOSA</t>
  </si>
  <si>
    <t xml:space="preserve">2991-50-6
(branched isomer) </t>
  </si>
  <si>
    <t>2991-50-6
(linear isomer)</t>
  </si>
  <si>
    <t>PFBA (17.4%)</t>
  </si>
  <si>
    <t>TFA (7.8%), 
PFPeA (2.6%),
PFBA (17.4%)</t>
  </si>
  <si>
    <t>Landfill Soil</t>
  </si>
  <si>
    <t>Sun et al., 2020</t>
  </si>
  <si>
    <t>5:3 FTCA (12.5%)</t>
  </si>
  <si>
    <t>PFHxA (2.0%), 
PFBA (1.7%), 
PFPeA (1.6%),
TFA (2.3%)</t>
  </si>
  <si>
    <t>6:2 FTUCA (0.1-4.2%),
5:2 ketone (2.9-4.2%),
5:2 sFTOH (27.6-72.8%),
5:3 Uacid (0.4-1.0%)</t>
  </si>
  <si>
    <t>5:3 Acid (23.2-9.6%),
PFHxA (25.8-11.0%),
PFPeA (2.0-5.3%),
PFBA (0.5-2.9%)</t>
  </si>
  <si>
    <t>Zhang et al., 2017a</t>
  </si>
  <si>
    <t>6:2 FTAL</t>
  </si>
  <si>
    <t>6:2 FTCA (38%)
6:2 FTUCA (4.9%)</t>
  </si>
  <si>
    <t>PFHxA (=&lt;0.4%)
5:3 Acid (21%)</t>
  </si>
  <si>
    <t>Digester sludge</t>
  </si>
  <si>
    <t>90-176</t>
  </si>
  <si>
    <t>Zhang et al., 2013</t>
  </si>
  <si>
    <t xml:space="preserve">6:2 FTCA, 
5:3 Acid (22.4%),
4:3 Acid (2.7%),
5:2 sFTOH, 
6:2 FTUCA, 
</t>
  </si>
  <si>
    <t>PFHxA (8.4%),
 PFPeA (10.4%), 
PFBA (1.5%)</t>
  </si>
  <si>
    <t>Zhao et al., 2013</t>
  </si>
  <si>
    <t>6:2 FTCA (0%),
6:2 FTUCA (0%),
5:3 FTCA (8.7%)</t>
  </si>
  <si>
    <t>PFBA (9.1%),
PFPeA (27.4%),
PFHxA (12.5%),
4:3 FTCA (7.3%)</t>
  </si>
  <si>
    <t>Composting sludge</t>
  </si>
  <si>
    <t>Qiao et al., 2021</t>
  </si>
  <si>
    <t>PFHxA (4.5%), 
PFPeA (4.2),
 PFBA (0.8%),
5:3 Acid (12%), 
4:3 Acid (1%)</t>
  </si>
  <si>
    <t>Soil in a Flow-Through Reactor</t>
  </si>
  <si>
    <t>Liu et al., 2010b</t>
  </si>
  <si>
    <t>6:2 FTCA (5.7%)</t>
  </si>
  <si>
    <t>6:2 FTUA (25%),
5:2 sFTOH (17%)</t>
  </si>
  <si>
    <t xml:space="preserve">PFHxA (5.1%),
5:3 Acid (5.5%),
PFPeA (&lt;0.5),
PFBA (&lt;0.5%) </t>
  </si>
  <si>
    <t>Mixed bacterial culture</t>
  </si>
  <si>
    <t>Liu et al., 2010a</t>
  </si>
  <si>
    <t xml:space="preserve"> 6:2 FTUA,  
5:2 sFTOH,
5:2 FT Ketone,
5:3 Uacid,
5:3 Uamide</t>
  </si>
  <si>
    <t>PFPeA (30%), 
PFHxA (8.1%), 
PFBA (1.8%),
5:3 acid (15%),
4:3 acid (1%)</t>
  </si>
  <si>
    <t>8:2 FTCA (&lt;0.2%)</t>
  </si>
  <si>
    <t>8:2 FTUA (5.8%),
7:2 sFTOH (3%)</t>
  </si>
  <si>
    <t>PFHxA, 
PFOA</t>
  </si>
  <si>
    <t>Yan et al., 2022</t>
  </si>
  <si>
    <t>8:2 FTUA (&lt;0.5%),
7:2 sFTOH (3.7%)</t>
  </si>
  <si>
    <t>Soil, lactate addition</t>
  </si>
  <si>
    <t>8:2 FTUA, 
7:2 sFTOH, 
7:3 Acid</t>
  </si>
  <si>
    <t>Dong et al., 2023</t>
  </si>
  <si>
    <t>PFOA (7.9%),
PFHpA (1.3%)</t>
  </si>
  <si>
    <t xml:space="preserve">(Industrial WWTP)Activated Sludge </t>
  </si>
  <si>
    <t>Yu et al., 2016</t>
  </si>
  <si>
    <t>PFOA( 0.8%)</t>
  </si>
  <si>
    <t>Anoxic</t>
  </si>
  <si>
    <t>PFOA (2.5%),
PFHpA ( 0.3%),
PFHxA (0.3%)</t>
  </si>
  <si>
    <t xml:space="preserve">7:3 FTCA (1.5%)  </t>
  </si>
  <si>
    <t>8:2 FTUCA (1.8%)</t>
  </si>
  <si>
    <t>PFOA (2.8%), 
PFHxA (0.5%), 
PFHpA (0.5%)</t>
  </si>
  <si>
    <t>8:2 FTAL</t>
  </si>
  <si>
    <t>8:2 FTCA (18%),
8:2 FTUCA (5.1%)</t>
  </si>
  <si>
    <t>PFOA (0.3%),
7:3 Acid (27%)</t>
  </si>
  <si>
    <t>8:2 FTA,
8:2 FTUA,
7:2 sFTOH</t>
  </si>
  <si>
    <t>197-210</t>
  </si>
  <si>
    <t>Wang et al., 2009</t>
  </si>
  <si>
    <t>28-33</t>
  </si>
  <si>
    <t>Polyfluoroalkyl phosphate esters</t>
  </si>
  <si>
    <t>PAPs</t>
  </si>
  <si>
    <t>6:2 Polyfluoroalkyl phosphate diester</t>
  </si>
  <si>
    <t>6:2 diPAP</t>
  </si>
  <si>
    <t>407582-79-0</t>
  </si>
  <si>
    <t>6:2 monoPAP</t>
  </si>
  <si>
    <t xml:space="preserve">6:2 FTOH, 
6:2 FTCA, 
6:2 FTUCA, 
5:2 sFTOH,
5:2 ketone </t>
  </si>
  <si>
    <t>PFBA,
 PFPeA,
 PFHxA,
5:3 Acid</t>
  </si>
  <si>
    <t>Liu and Liu, 2016</t>
  </si>
  <si>
    <t>Weidemann et al., 2024</t>
  </si>
  <si>
    <t>PFBA (0.41%),
PFPeA, (1.72%),
PFHxA (1.75%),
PFHpA (0.01%)</t>
  </si>
  <si>
    <t>Soil-maize system</t>
  </si>
  <si>
    <t>Just et al., 2022</t>
  </si>
  <si>
    <t>8:2 Polyfluoroalkyl phosphate diester</t>
  </si>
  <si>
    <t>8:2 diPAP</t>
  </si>
  <si>
    <t>678-41-1</t>
  </si>
  <si>
    <t>8:2 monoPAP</t>
  </si>
  <si>
    <t>PFHxA (0.34%),
7:3 acid (0.29%),
PFHpA (0.25%), 
PFOA (2.1%)</t>
  </si>
  <si>
    <t>PFBA (0.1%),
PFPeA (0.2%),
PFHxA, (0.4%),
PFHpA (2.3%),
PFOA (20.2%)</t>
  </si>
  <si>
    <t>(N-ethyl perfluorooctanesulfonamido ethanol)-based  phosphate diester</t>
  </si>
  <si>
    <t>EtFOSAA, 
EtFOSE, 
EtFOSA,
PFOSA</t>
  </si>
  <si>
    <t>Freshwater Sediment</t>
  </si>
  <si>
    <t>Zhang et al., 2018</t>
  </si>
  <si>
    <t xml:space="preserve">(N-ethyl perfluorooctanesulfonamido ethanol)-based phosphate triester </t>
  </si>
  <si>
    <t>SAmPAP triester</t>
  </si>
  <si>
    <t>EtFOSAA (0%), 
EtFOSE (0%), 
EtFOSA (0%),
PFOSA (0%)</t>
  </si>
  <si>
    <t>Polyfluoroalkyl Amine Oxides</t>
  </si>
  <si>
    <t>PFNOs</t>
  </si>
  <si>
    <t>Perfluorooctaneamido amine oxide</t>
  </si>
  <si>
    <t>PFOANO</t>
  </si>
  <si>
    <t>30295-53-5</t>
  </si>
  <si>
    <t>PFOAAm</t>
  </si>
  <si>
    <t>PFOANO-2,
PFOANO-3, 
PFOANO-4</t>
  </si>
  <si>
    <t>Sandy Loam Soil</t>
  </si>
  <si>
    <t>Chen et al., 2020</t>
  </si>
  <si>
    <t>Loam Soil</t>
  </si>
  <si>
    <t>Perfluorooctane sulfonamido amine oxide</t>
  </si>
  <si>
    <t>PFOSNO</t>
  </si>
  <si>
    <t>30295-51-3</t>
  </si>
  <si>
    <t>PFOSAm</t>
  </si>
  <si>
    <t>PFOSNO-2, 
PFOSNO-3, 
PFOSNO-4, 
FOSA, 
FOSAA</t>
  </si>
  <si>
    <t>6:2 Fluorotelomer sulfonamide amine oxide</t>
  </si>
  <si>
    <t>6:2 FTNO</t>
  </si>
  <si>
    <t>Zwitterion</t>
  </si>
  <si>
    <t>6:2 FTAA, 
6:2 FTUAA</t>
  </si>
  <si>
    <t>6:2, FTSAm, 
6:2 FTSA, 
6:2 FTCA</t>
  </si>
  <si>
    <t>PFBA, 
PFPeA, 
PFHxA, 
PFHpA</t>
  </si>
  <si>
    <t>PFEAs</t>
  </si>
  <si>
    <t>PFEAs - PFECAs</t>
  </si>
  <si>
    <r>
      <t>HFPO-DA</t>
    </r>
    <r>
      <rPr>
        <vertAlign val="superscript"/>
        <sz val="11"/>
        <rFont val="Calibri"/>
        <family val="2"/>
        <scheme val="minor"/>
      </rPr>
      <t>a</t>
    </r>
  </si>
  <si>
    <t>PFEAs - PFESAs</t>
  </si>
  <si>
    <t xml:space="preserve">Other Perfluoroalkyl Compounds </t>
  </si>
  <si>
    <t>Perfluorooctane sulfonamido betaine</t>
  </si>
  <si>
    <t>PFOSB</t>
  </si>
  <si>
    <t>75046-16-1</t>
  </si>
  <si>
    <t>FOSA 
(0.068-0.52%), 
FOSAA
(0.01-0.064%),
PFOSI</t>
  </si>
  <si>
    <t>PFOS 
(0.07−1.5%)</t>
  </si>
  <si>
    <t xml:space="preserve">PFOS  </t>
  </si>
  <si>
    <t>Perfluorooctane amido betaine</t>
  </si>
  <si>
    <t>PFOAB</t>
  </si>
  <si>
    <t>90179-39-8</t>
  </si>
  <si>
    <t>PFOA 
(5.8−32.6%)</t>
  </si>
  <si>
    <t xml:space="preserve">PFOA  </t>
  </si>
  <si>
    <t>3-dimethyl amino perfluorooctanesulfonamide</t>
  </si>
  <si>
    <t>13417-01-1</t>
  </si>
  <si>
    <t>FOSAA 
(0-0.001%)</t>
  </si>
  <si>
    <t>FOSA 
(0.007-0.8%)</t>
  </si>
  <si>
    <t>PFOS 
(0.005−0.27%)</t>
  </si>
  <si>
    <t>3-dimethyl amino perfluorooctaneamide</t>
  </si>
  <si>
    <t>376-23-8</t>
  </si>
  <si>
    <t>Perfluorooctanesulfinic acid</t>
  </si>
  <si>
    <t>647-29-0</t>
  </si>
  <si>
    <t>Other Polyfluoroalkyl Compounds</t>
  </si>
  <si>
    <t>5:3 Polyfluorinated unsaturated acid</t>
  </si>
  <si>
    <t>5:3 Uacid</t>
  </si>
  <si>
    <t>1869-04-1</t>
  </si>
  <si>
    <t>5:3 Acid</t>
  </si>
  <si>
    <t>5:3 Fluorotelomer betaine</t>
  </si>
  <si>
    <t>5:3 FTB</t>
  </si>
  <si>
    <t>171184-14-8</t>
  </si>
  <si>
    <t>Wetland Soil with and without Sodium Acetate</t>
  </si>
  <si>
    <t>5:1:2 Fluorotelomer betaine</t>
  </si>
  <si>
    <t>5:1:2 FTB</t>
  </si>
  <si>
    <t>171184-02-4</t>
  </si>
  <si>
    <t>6:2 Fluorotelomer sulfonamide alkylbetaine</t>
  </si>
  <si>
    <t>6:2 FTAB</t>
  </si>
  <si>
    <t>34455-29-3</t>
  </si>
  <si>
    <t>Li et al., 2019</t>
  </si>
  <si>
    <t>6:2 Fluorotelomer iodide</t>
  </si>
  <si>
    <t>6:2 FTI</t>
  </si>
  <si>
    <t>2043-57-4</t>
  </si>
  <si>
    <t xml:space="preserve">6:2 FTOH </t>
  </si>
  <si>
    <t xml:space="preserve">PFHpA (16%), 
PFHxA (3.8%),
PFPeA (20%),
5:3 Acid (16%),
4:3 Acid (3%) </t>
  </si>
  <si>
    <t>Ruan et al., 2013</t>
  </si>
  <si>
    <t>6:2 Fluorotelomer sulfonamide alkylamine</t>
  </si>
  <si>
    <t>6:2 FTAA</t>
  </si>
  <si>
    <t>34455-22-6</t>
  </si>
  <si>
    <t>6:2 FTUAA</t>
  </si>
  <si>
    <t>8:2 Fluorotelomer acrylate</t>
  </si>
  <si>
    <t>8:2 FTAC</t>
  </si>
  <si>
    <t>27905-45-9</t>
  </si>
  <si>
    <t>8:2 FTCA, 
8:2 FTUCA, 
7:2 sFTOH,
7:3 FTUCA</t>
  </si>
  <si>
    <t>PFHxA,
7:3 FTCA,
PFOA</t>
  </si>
  <si>
    <t>Soil (Raub-38)</t>
  </si>
  <si>
    <t>Royer et al., 2014</t>
  </si>
  <si>
    <t>Soil (Raub-40)</t>
  </si>
  <si>
    <t>8:2 FTCA, 
8:2 FTUCA, 
7:2 sFTOH (30%),
7:3 FTUCA</t>
  </si>
  <si>
    <t>Soil (FRST-44)</t>
  </si>
  <si>
    <t>8:2 Fluorotelomer methacrylate</t>
  </si>
  <si>
    <t>8:2 FTMAC</t>
  </si>
  <si>
    <t>1996-88-9</t>
  </si>
  <si>
    <t>8:2 FTCA, 
8:2 FTUCA, 
7:2 sFTOH,
7:3 FTUCA Acid</t>
  </si>
  <si>
    <t>8:2 Fluorotelomer stearate monoester</t>
  </si>
  <si>
    <t>8:2 FTS</t>
  </si>
  <si>
    <t>99955-83-6</t>
  </si>
  <si>
    <t>8:2 FTCA, 
8:2 FTUCA, 
7:2 sFTOH,
7:3 Acid (0.45%)</t>
  </si>
  <si>
    <t>PFOA (1.7%), 
PFHpA (0.38%), 
PFHxA (0.16%)</t>
  </si>
  <si>
    <t>Dasu et al., 2012</t>
  </si>
  <si>
    <t>4:2 Fluorotelomer thioether amido sulfonate</t>
  </si>
  <si>
    <t>4:2 FtTAoS</t>
  </si>
  <si>
    <t>1432486-88-8</t>
  </si>
  <si>
    <t>Harding-Marjanovic et al., 2015</t>
  </si>
  <si>
    <t>6:2 Fluorotelomer thioether amido sulfonate</t>
  </si>
  <si>
    <t>6:2 FtTAoS</t>
  </si>
  <si>
    <t>88992-47-6</t>
  </si>
  <si>
    <t>6:2 FTS 
(apprx. 8.1%)</t>
  </si>
  <si>
    <t>6:2 FTUCA, 
5:3 FTCA</t>
  </si>
  <si>
    <t>PFBA, 
PFPeA, 
PFHxA</t>
  </si>
  <si>
    <t>Olivares et al., 2022</t>
  </si>
  <si>
    <t>Weiner et al., 2013</t>
  </si>
  <si>
    <t>8:2 Fluorotelomer thioether amido sulfonate</t>
  </si>
  <si>
    <t>8:2 FtTAoS</t>
  </si>
  <si>
    <t>1383439-45-9</t>
  </si>
  <si>
    <t>Toluene-2,4-di(8:2 fluorotelomer urethane)</t>
  </si>
  <si>
    <t>FTU</t>
  </si>
  <si>
    <t>7:2 sFTOH</t>
  </si>
  <si>
    <t>Dasu et al., 2015</t>
  </si>
  <si>
    <t>Hexamethylene-1,6-di(8:2 fluorotelomer urethane)</t>
  </si>
  <si>
    <t>HMU</t>
  </si>
  <si>
    <t>Polymer Mixtures</t>
  </si>
  <si>
    <t>Fluorotelomer-based urethane polymer</t>
  </si>
  <si>
    <t>var.</t>
  </si>
  <si>
    <t>Soil - 4 Types</t>
  </si>
  <si>
    <t>Half-life</t>
  </si>
  <si>
    <t>Russell et al., 2010</t>
  </si>
  <si>
    <t>Fluoroacrylate polymer</t>
  </si>
  <si>
    <t>8:2 FTA,
8:2 FTUA,
7:3 FTUA,
7:2 sFTOH</t>
  </si>
  <si>
    <t>7:3 Acid 
PFOA</t>
  </si>
  <si>
    <t>Russell et al., 2008</t>
  </si>
  <si>
    <t>PFNA,
PFDA</t>
  </si>
  <si>
    <t>All reported values are biologically mediated transformation rates. Abiotic transformation rates are beyond the scope of this table.</t>
  </si>
  <si>
    <t>Some parent compounds are listed verbatim from the literature and no molecular weights or CAS numbers could be found.</t>
  </si>
  <si>
    <t>Most product metabolites are inferred from a biodegradation pathway provided in the text, not from measured concommitant increases in the metabolite.</t>
  </si>
  <si>
    <t>Many compounds listed have been verified to be components of AFFF mixtures. Please refer to Sctions 3 and 5 to understand AFFF composition</t>
  </si>
  <si>
    <t>a. HFPO-DA is the acid form - the ammonium salt form is commonly referred to as GenX. Both compounds are listed in the table.</t>
  </si>
  <si>
    <t>b. Charge characteristics are of the environmentally relevant species. For example, acids are assumed to dissociate in the environment and present as anions.</t>
  </si>
  <si>
    <t>c. Where no molecular weight information was available, an estimate was obtained using AI. These cells are highlighted in pink.</t>
  </si>
  <si>
    <t>d. Where available, relative percentages of observed metabolites are reported in parentheses.</t>
  </si>
  <si>
    <t xml:space="preserve">e. Daughter products are considered the transformation metabolite reflected in the transformation rate. If the rate is reported in terms of concentration decrease of the parent compound, the daughter metabolite is assumed to be the first compound in the transformation pathway. </t>
  </si>
  <si>
    <t>f. Intermediate metabolites are considered compounds in the transformation pathway between the parent compound and the daughter product, where specified.</t>
  </si>
  <si>
    <t>g. Downstream metabolites are considered compounds detected in the assay that were further degradation products of the daughter product, but not terminal products. List is not exhaustive.</t>
  </si>
  <si>
    <t>h. Terminal products listed are the non-reactive products within the identified metabolite list</t>
  </si>
  <si>
    <t xml:space="preserve">i. Type: </t>
  </si>
  <si>
    <t xml:space="preserve">     EB: Experimental (Bench Scale)</t>
  </si>
  <si>
    <t xml:space="preserve">     EF: Experimental (Field Scale)</t>
  </si>
  <si>
    <t>j. Values reported in the paper. Values are converted to Half-Life or Rate Constants (assuming first order kinetics) in Columns P and Q.</t>
  </si>
  <si>
    <t xml:space="preserve">k. Cells of reported values highlighted in blue were presented as lower bounds (e.g. 3400 is presented as "&gt; 3400") </t>
  </si>
  <si>
    <t xml:space="preserve">l. Cells of reported values highlighted in green were presented as upper bounds (e.g. 7 is presented as "&lt; 7") </t>
  </si>
  <si>
    <t>m. Compounds where no degradation was observed over the length of the assay are described as NDO (No degradation observed)</t>
  </si>
  <si>
    <t>n. Assay lengths are derived from the same type of seagw sludge for the PFAS compounds reported in the study.</t>
  </si>
  <si>
    <t>Additional Definitions:</t>
  </si>
  <si>
    <t>NDO: No degradation observed</t>
  </si>
  <si>
    <t>FTA: Fluorotelomer saturated acid</t>
  </si>
  <si>
    <t>PFOSI: Perfluorooctane sulfinate</t>
  </si>
  <si>
    <t>sFTOH: Secondary fluorotelomer alcohol</t>
  </si>
  <si>
    <t>7:3/5:3 Acid: Fluorotelomer acids</t>
  </si>
  <si>
    <t>FTUAA: Fluorotelomer sulfonamide-based unsaturated alkylamine</t>
  </si>
  <si>
    <t>FTUCA: Fluorotelomer unsaturated carboxylic acid</t>
  </si>
  <si>
    <t>Data Sources for Physical and Chemical Properties Values for Select PFAS</t>
  </si>
  <si>
    <t>Location of Information</t>
  </si>
  <si>
    <t>Reference Number</t>
  </si>
  <si>
    <t>Citation Tag</t>
  </si>
  <si>
    <t>Primary/
Secondary Source</t>
  </si>
  <si>
    <t>Notes</t>
  </si>
  <si>
    <t>Number (2)</t>
  </si>
  <si>
    <t>Density</t>
  </si>
  <si>
    <t>Melting Point</t>
  </si>
  <si>
    <t>Boiling Point</t>
  </si>
  <si>
    <t>CMC</t>
  </si>
  <si>
    <t>pKa</t>
  </si>
  <si>
    <t>VP</t>
  </si>
  <si>
    <t>S</t>
  </si>
  <si>
    <t>KH</t>
  </si>
  <si>
    <r>
      <t>K</t>
    </r>
    <r>
      <rPr>
        <b/>
        <vertAlign val="subscript"/>
        <sz val="14"/>
        <color theme="1"/>
        <rFont val="Calibri"/>
        <family val="2"/>
        <scheme val="minor"/>
      </rPr>
      <t>oc</t>
    </r>
  </si>
  <si>
    <t>Biotransformation</t>
  </si>
  <si>
    <t>Primary</t>
  </si>
  <si>
    <t>3M Company. 2000. “Sulfonated Perfluorochemicals in the Environment: Sources, Dispersion, Fate and Effects.” St. Paul, MN. https://www.ag.state.mn.us/Office/Cases/3M/docs/PTX/PTX1653.pdf.</t>
  </si>
  <si>
    <t>Secondary</t>
  </si>
  <si>
    <t>3M Company.  2003.  Perfluorooctanoic Acid - Physiochemical Properties and Environmental Fate Data.</t>
  </si>
  <si>
    <t>3M Company.  2021.  Final Report: Summary of Physical/Chemical and Environmental Parameters for PFAS : Subject to Interim Special Order by Consent No. 20-086-CWP/AP/GW/HW/DW/SW, paragraph 37(J)(3). Laboratory Request Number: E21-0037. Published January 14, 2021. https://rais.ornl.gov/documents/3M.pdf</t>
  </si>
  <si>
    <r>
      <t>Abusallout, Ibrahim, Chase Holton, Junli Wang, and David Hanigan. 2022. "Henry’s Law constants of 15 per- and polyfluoroalkyl substances
determined by static headspace analysis." J</t>
    </r>
    <r>
      <rPr>
        <i/>
        <sz val="11"/>
        <color theme="1"/>
        <rFont val="Calibri"/>
        <family val="2"/>
        <scheme val="minor"/>
      </rPr>
      <t>ournal of Hazardous Materials Letters.</t>
    </r>
    <r>
      <rPr>
        <sz val="11"/>
        <color theme="1"/>
        <rFont val="Calibri"/>
        <family val="2"/>
        <scheme val="minor"/>
      </rPr>
      <t xml:space="preserve"> 3: 100070. https://doi.org/10.1016/j.hazl.2022.100070</t>
    </r>
  </si>
  <si>
    <t>Also has values for PFHxI, 6:2 FTUI, 6:2 FTI, 6:2 FTO, and 8:2 FTAC</t>
  </si>
  <si>
    <r>
      <t xml:space="preserve">Ahrens, Lutz, Sachi Taniyasu, Leo W.Y. Yeung, Nobuyoshi Yamashita, Paul K.S. Lam, and Ralf Ebinghaus. 2010. "Distribution of Polyfluoroalkyl Compounds in Water, Suspended Particulate Matter and Sediment from Tokyo Bay, Japan." </t>
    </r>
    <r>
      <rPr>
        <i/>
        <sz val="11"/>
        <rFont val="Calibri"/>
        <family val="2"/>
        <scheme val="minor"/>
      </rPr>
      <t>Chemosphere</t>
    </r>
    <r>
      <rPr>
        <sz val="11"/>
        <rFont val="Calibri"/>
        <family val="2"/>
        <scheme val="minor"/>
      </rPr>
      <t xml:space="preserve"> 79: 266-272. doi: https://doi.org/10.1016/j.chemosphere.2010.01.045</t>
    </r>
  </si>
  <si>
    <t>Koc values calculated from two paired water and sediment or suspended particulate matter (SPM) samples. Water, sediment, and SPM samples were taken concurrently. Values were reported separately for each compound as a sediment-derived Koc and a SPM-derived Koc.</t>
  </si>
  <si>
    <r>
      <t xml:space="preserve">Ahrens, Lutz, Leo W.Y. Yeung, Sachi Taniyasu, Paul K.S. Lam, and Nobuyoshi Yamashita. 2011. "Partitioning of Perfluorooctanoate (PFOA), Perfluorooctane Sulfonate (PFOS) and Perfluorooctane Sulfonamide (PFOSA) Between Water and Sediment." </t>
    </r>
    <r>
      <rPr>
        <i/>
        <sz val="11"/>
        <rFont val="Calibri"/>
        <family val="2"/>
        <scheme val="minor"/>
      </rPr>
      <t>Chemosphere</t>
    </r>
    <r>
      <rPr>
        <sz val="11"/>
        <rFont val="Calibri"/>
        <family val="2"/>
        <scheme val="minor"/>
      </rPr>
      <t xml:space="preserve"> 85: 731-737. doi: https://doi.org/10.1016/j.chemosphere.2011.06.046</t>
    </r>
  </si>
  <si>
    <t xml:space="preserve">Three different sediment types.  "Low, environmentally-realistic" spiked concentrations of PFAS (i.e., ranging from 1.4 to 143 ng/L).  Linear isotherms observed.  PFOA readily desorbed from low Foc sediment.  In addition to Foc, sediment density also affected sorption of PFOS and PFOSA.  </t>
  </si>
  <si>
    <r>
      <t xml:space="preserve">Anderson, R. Hunter, Dave T. Adamson, and Hans F. Stroo. 2019. “Partitioning of poly- and perfluoroalkyl substances from soil to groundwater within aqueous film-forming foam source zones.” </t>
    </r>
    <r>
      <rPr>
        <i/>
        <sz val="11"/>
        <rFont val="Calibri"/>
        <family val="2"/>
        <scheme val="minor"/>
      </rPr>
      <t>Journal of Contaminant Hydrology</t>
    </r>
    <r>
      <rPr>
        <sz val="11"/>
        <rFont val="Calibri"/>
        <family val="2"/>
        <scheme val="minor"/>
      </rPr>
      <t xml:space="preserve"> 220:59-65. doi: https://doi.org/10.1016/j.jconhyd.2018.11.011.</t>
    </r>
  </si>
  <si>
    <t>Paired soil and groundwater samples from boreholes. Maximum concentration of soil results from multiple strata at each location were paired with single water measurement at the water table.  A site-wide partition value was calculated for 324 sites. Individual Koc values not reported in the paper were obtained from the author.</t>
  </si>
  <si>
    <t>Apollo Scientific website
http://www.apolloscientific.co.uk/index.php</t>
  </si>
  <si>
    <r>
      <t xml:space="preserve">Arp, Hans Peter H., Christian Niederer, and Kai-Uwe Goss, 2006. "Predicting the Partitioning Behavior of Various Highly Fluorinated Compounds." </t>
    </r>
    <r>
      <rPr>
        <i/>
        <sz val="11"/>
        <rFont val="Calibri"/>
        <family val="2"/>
        <scheme val="minor"/>
      </rPr>
      <t>Environmental Science and Technology</t>
    </r>
    <r>
      <rPr>
        <sz val="11"/>
        <rFont val="Calibri"/>
        <family val="2"/>
        <scheme val="minor"/>
      </rPr>
      <t xml:space="preserve"> 40(23): 7298-7304. https://doi.org/10.1021/es060744y</t>
    </r>
  </si>
  <si>
    <t>Three mineral phases assessed: quartz, alumina, and calcite, with mean grain diameters of 120 µm, 6 µm, and 1 µm respectively. Experimental values reasonably well predicted by the SPARC and COSMOtherm models.</t>
  </si>
  <si>
    <t>ATSDR. 2021. Draft Toxicological Profile for Perfluoroalkyls. https://www.atsdr.cdc.gov/ToxProfiles/tp200.pdf</t>
  </si>
  <si>
    <r>
      <t xml:space="preserve">Baggioli, Alberto, Maurizio Sansotera, and Walter Navarrini. 2018. "Thermodynamics of Aqueous Perfluorooctanoic acid (PFOA) and 4,8-dioxa-3H-perfluorononanoic acid (DONA) from DFT Calculations: Insights into Degradation Initiation." </t>
    </r>
    <r>
      <rPr>
        <i/>
        <sz val="11"/>
        <rFont val="Calibri"/>
        <family val="2"/>
        <scheme val="minor"/>
      </rPr>
      <t>Chemosphere</t>
    </r>
    <r>
      <rPr>
        <sz val="11"/>
        <rFont val="Calibri"/>
        <family val="2"/>
        <scheme val="minor"/>
      </rPr>
      <t xml:space="preserve"> 193: 1063-1070. doi: https://doi.org/10.1016/j.chemosphere.2017.11.115.</t>
    </r>
  </si>
  <si>
    <t>Barton, Catherine A., Miguel A. Botelho, and Mary A. Kaiser.  2008.  Solid Vapor Pressure and Enthalpy of Sublimation for Perfluorooctanoic Acid.  J. Chem. Eng. Data 2008, 53, 939–941</t>
  </si>
  <si>
    <t>Extrapolation from measured VP data performed by the authors.</t>
  </si>
  <si>
    <t>Benskin, Jonathan P., Ikonomou, Michael G., Govas, Frank A.P.C., Begley, Timothy H., Woudneh, Million B., and Cosgrove, John R. (2013). Biodegradation of N‑Ethyl Perfluorooctane Sulfonamido Ethanol (EtFOSE) and EtFOSE-Based Phosphate Diester (SAmPAP Diester) in Marine Sediments. Environmental Science &amp; Technology: 47, 1381-1389.</t>
  </si>
  <si>
    <r>
      <t xml:space="preserve">Bhhatarai, Barun, and Paola Gramatica. 2011. "Prediction of Aqueous Solubility, Vapor Pressure and Critical Micelle Concentration for Aquatic Partitioning of Perfluorinated Chemicals." </t>
    </r>
    <r>
      <rPr>
        <i/>
        <sz val="11"/>
        <rFont val="Calibri"/>
        <family val="2"/>
        <scheme val="minor"/>
      </rPr>
      <t xml:space="preserve">Environmental Science &amp; Technology </t>
    </r>
    <r>
      <rPr>
        <sz val="11"/>
        <rFont val="Calibri"/>
        <family val="2"/>
        <scheme val="minor"/>
      </rPr>
      <t>45 (19): 8120-8128. doi: https://doi.org/10.1021/es101181g.</t>
    </r>
  </si>
  <si>
    <t>Contains values from both primary and secondary sources.</t>
  </si>
  <si>
    <t>Brace, Neal O. 1962. "Long Chain Alkanoic and Alkenoic Acids with Perfluoroalkyl Terminal Segments." The Journal of Organic Chemistry 27 (12): 4491-4498. doi: https://doi.org/10.1021/jo01059a090.</t>
  </si>
  <si>
    <r>
      <t xml:space="preserve">Burns, Darcy C., David A. Ellis, Hongxia Li, Colin J. McMurdo, and Eva Webster. 2008. "Experimental pKa Determination for Perfluorooctanoic Acid (PFOA) and the Potential Impact of pKa Concentration Dependence on Laboratory-Measured Partitioning Phenomena and Environmental Modeling."  </t>
    </r>
    <r>
      <rPr>
        <i/>
        <sz val="11"/>
        <rFont val="Calibri"/>
        <family val="2"/>
        <scheme val="minor"/>
      </rPr>
      <t>Environmental Science &amp; Technology</t>
    </r>
    <r>
      <rPr>
        <sz val="11"/>
        <rFont val="Calibri"/>
        <family val="2"/>
        <scheme val="minor"/>
      </rPr>
      <t xml:space="preserve"> 42 (24): 9283-9288. doi: http://dx.doi.org/10.1021/es802047v.</t>
    </r>
  </si>
  <si>
    <t xml:space="preserve">
Cabala, Radomir, Karel Nesmerak, and Tereza Vlasakova. 2017. "Dissociation constants of perfluoroalkanoic acids." Monatsh Chem 148: 1679-1684. doi:10.1007/s00706-017-1970-4</t>
  </si>
  <si>
    <t>Cerro-Galvez, Elena, Jose L. Roscales, Begoña Jiménez, M. Montserrat Sala, Jordi Dachs, Maria Vila-Costa. 2020. "Microbial responses to perfluoroalkyl substances and perfluorooctanesulfonate (PFOS) desulfurization in the Antarctic marine environment." Water Research 171: 115434. https://doi.org/10.1016/j.watres.2019.115434</t>
  </si>
  <si>
    <r>
      <t xml:space="preserve">Chen, Hong, Shuo Chen, Xie Quan, Yazhi Zhao, and Huimin Zhao. 2009. "Sorption of perfluorooctane sulfonate (PFOS) on oil and oil-derived black carbon: Influence of solution pH and [Ca2+]". </t>
    </r>
    <r>
      <rPr>
        <i/>
        <sz val="11"/>
        <rFont val="Calibri"/>
        <family val="2"/>
        <scheme val="minor"/>
      </rPr>
      <t>Chemosphere</t>
    </r>
    <r>
      <rPr>
        <sz val="11"/>
        <rFont val="Calibri"/>
        <family val="2"/>
        <scheme val="minor"/>
      </rPr>
      <t xml:space="preserve"> 77: 1406-1411. doi:10.1016/j.chemosphere.2009.09.008.</t>
    </r>
  </si>
  <si>
    <t>Sorption to oil and oil-derived black carbon (BC) assessed using Freundlich isotherm.  Primary variables: PFOS concentration, pH, and Ca2+.  Effects of pH and Ca2+ on sorption to BC strongly dependent on PFOS concentration (i.e., non-linearity associated with electrostatic interactions).  Control value (Coil = 0) given in table.</t>
  </si>
  <si>
    <r>
      <t xml:space="preserve">Chen, Ying-Chin, Shang-Lien Loa, Nien-Hsun Lia, Yu-Chi Leea, and Jeff Kuo. 2013. "Occurrence, fate, and fluxes of perfluorochemicals (PFCs) in an urban catchment: Marina Reservior, Singapore." </t>
    </r>
    <r>
      <rPr>
        <i/>
        <sz val="11"/>
        <rFont val="Calibri"/>
        <family val="2"/>
        <scheme val="minor"/>
      </rPr>
      <t>Desalination and Water Treatment</t>
    </r>
    <r>
      <rPr>
        <sz val="11"/>
        <rFont val="Calibri"/>
        <family val="2"/>
        <scheme val="minor"/>
      </rPr>
      <t xml:space="preserve"> 51: 7469-7475. doi: 10.1080/19443994.2013.792145.</t>
    </r>
  </si>
  <si>
    <t>Primary variables: inorganic salt concentration and humic acid concentration. Cited by Millinovic et al. Koc not explcitly reported but was calculated based on reported foc and Kd values.</t>
  </si>
  <si>
    <r>
      <t xml:space="preserve">Chen, Xinwei, Lingyan Zhu, Xiaoyu Pan, Shuhong Fang, Yifeng Zhang, and Liping Yang. 2015. "Isomeric specific partitioning behaviors of perfluoroalkyl substances in water dissolved phase, suspended particulate matters and sediments in Liao River Basin and Taihu Lake, China." </t>
    </r>
    <r>
      <rPr>
        <i/>
        <sz val="11"/>
        <rFont val="Calibri"/>
        <family val="2"/>
        <scheme val="minor"/>
      </rPr>
      <t>Water Research</t>
    </r>
    <r>
      <rPr>
        <sz val="11"/>
        <rFont val="Calibri"/>
        <family val="2"/>
        <scheme val="minor"/>
      </rPr>
      <t xml:space="preserve"> 80: 235-244. doi: http://dx.doi.org/10.1016/j.watres.2015.04.032.</t>
    </r>
  </si>
  <si>
    <t xml:space="preserve">Values calculated from 47 paired water and sediment or suspended particulate matter (SPM) samples. Water, sediment, and SPM samples were taken concurrently. Values were reported separately for each compound as a sediment-derived Koc and a SPM-derived Koc. Isomeric differences were reported for PFOA, PFOS and PFOSA. </t>
  </si>
  <si>
    <r>
      <t>Chen, Hao, Min Liu, Gabriel Munoz, Sung Vo Duy, Sébastien Sauvé, Yiming Yao, Hongwen Sun, and Jinxia Liu. 2020. "Fast Generation of Perfluoroalkyl Acids from Polyfluoroalkyl Amine Oxides in Aerobic Soils."
E</t>
    </r>
    <r>
      <rPr>
        <i/>
        <sz val="11"/>
        <color rgb="FF000000"/>
        <rFont val="Calibri"/>
        <family val="2"/>
        <scheme val="minor"/>
      </rPr>
      <t>nvironmental Science &amp; Technology Letters</t>
    </r>
    <r>
      <rPr>
        <sz val="11"/>
        <color rgb="FF000000"/>
        <rFont val="Calibri"/>
        <family val="2"/>
        <scheme val="minor"/>
      </rPr>
      <t xml:space="preserve"> 7:714-720.</t>
    </r>
  </si>
  <si>
    <t>Cheng, Jie, Elefteria Psillakis, M. R. Hoffmann, and A. J. Colussi. 2009. "Acid Dissociation versus Molecular Association of Perfluoroalkyl Oxoacids: Environmental Implication." The Journal of Physical Chemistry A Letters 113 (29): 8152-8156. doi: https://doi.org/10.1021/jp9051352.</t>
  </si>
  <si>
    <r>
      <t xml:space="preserve">Cobranchi, Daryl P., Miguel Botelho, L. William Buxton, Robert C. Buck and Mary A. Kaiser.  2006.  "Vapor pressure determinations of 8-2 fluorortelomer alcohol and 1-H perfluorooctane by capillary gas chromatography: Relative retention time versus headspace methods" </t>
    </r>
    <r>
      <rPr>
        <i/>
        <sz val="11"/>
        <rFont val="Calibri"/>
        <family val="2"/>
        <scheme val="minor"/>
      </rPr>
      <t>Journal of Chromatography A</t>
    </r>
    <r>
      <rPr>
        <sz val="11"/>
        <rFont val="Calibri"/>
        <family val="2"/>
        <scheme val="minor"/>
      </rPr>
      <t>.  1108(2): 248-251.  doi: https://doi.org/10.1016/j.chroma.2006.01.020</t>
    </r>
  </si>
  <si>
    <t>Corkum, Ronald, and John Milne. 1978. "The density, electrical conductivity, freezing point, and viscosity of mixtures of - - trifluoromethanesulfonic acid and water." Canadian Journal of Chemistry 56: 1832-1835.</t>
  </si>
  <si>
    <t>Costanza, Jed, Linda M. Abriola, and Kurt D. Pennell, 2020. Aqueous Film-Forming Foams Exhibit Greater Interfacial Activity than PFOA, PFOS, or FOSA. Environmental Science &amp; Technology 54 (21):  13590–13597. https://dx.doi.org/10.1021/acs.est.0c03117</t>
  </si>
  <si>
    <r>
      <t xml:space="preserve">D’Agostino, Lisa A., and Scott A. Mabury. 2017. "Certain Perfluoroalkyl and Polyfluoroalkyl Substances Associated with Aqueous Film Forming Foam Are Widespread in Canadian Surface Waters." </t>
    </r>
    <r>
      <rPr>
        <i/>
        <sz val="11"/>
        <rFont val="Calibri"/>
        <family val="2"/>
        <scheme val="minor"/>
      </rPr>
      <t>Environmental Science and Technology</t>
    </r>
    <r>
      <rPr>
        <sz val="11"/>
        <rFont val="Calibri"/>
        <family val="2"/>
        <scheme val="minor"/>
      </rPr>
      <t xml:space="preserve"> 51: 13603-13613. doi: http://dx.doi.org/10.1021/acs.est.7b03994.</t>
    </r>
  </si>
  <si>
    <t>Determined from field sediments and waters from the AFFF-impacted  Welland River and Big Creek.</t>
  </si>
  <si>
    <t>Dasu, K., Liu, J., &amp; Lee, L. S. 2012. "Aerobic Soil Biodegradation of 8:2 Fluorotelomer Stearate Monoester." Environmental Science &amp; Technology, 46 (7), 3831-3836. https://doi.org/10.1021/es203978g</t>
  </si>
  <si>
    <t>Monitored the loss of 8:2 FTS, production 8:2 FTOH and stearic acid. Detected the degradation prodcuts 8:2 FTOH including including 8:2 fluorotelomer unsaturated and saturated carboxylic acids, 7:2s FTOH, 7:3 acid, and three perfluoroalkyl carboxylic acids with the most prominent being PFOA.</t>
  </si>
  <si>
    <t>Dasu, Kavitha, and Linda S. Lee, 2015. "Aerobic Biodegradation of Toluene-2,4-di(8:2 fluorotelomer urethane) and Hexamethylene-1,6-
di(8:2 fluorotelomer urethane) Monomers in Soils." Chemosphere 144: 2482-2488. https://doi.org/10.1016/j.chemosphere.2015.11.021</t>
  </si>
  <si>
    <t>Dong, D., S. Kancharla, J. Hooper, M. Tsianou, D. Bedrov, P. Alexandridis. 2021 Controlling the Self-Assembly of Perfluorinated Surfactants in Aqueous Environments. Phys Chem Chem Physics 23: 10029-10039.</t>
  </si>
  <si>
    <t>Dong, Sheng, Peng-Fei Yan, Chen Liu, Katherine E. Manz, Melissa P. Mezzari, Linda M. Abriola, Kurt D. Pennell, and Natalie L. Cápiro. 2023. Assessing aerobic biotransformation of 8:2 fluorotelomer alcohol in aqueous film-forming foam (AFFF)-impacted soils: Pathways and microbial community dynamics. Journal of Hazardous Materials. 446: 130629.</t>
  </si>
  <si>
    <t xml:space="preserve">ECHA 2022. European Chemicals Agency, REACH Registration Dossier. Accessed separately for each compound. http://echa.europa.eu/ </t>
  </si>
  <si>
    <t>Ellis, D. A., S. A. Mabury, J. W. Martin, and D.C.G. Muir. 2001. "Thermolysis of fluoropolymers as a potential source of halogenated organic acids in the environment." Letters to Nature 412: 321-324. https://doi.org/10.1038/35085548</t>
  </si>
  <si>
    <t>Cites Bowden et al., 1996</t>
  </si>
  <si>
    <r>
      <rPr>
        <sz val="11"/>
        <color rgb="FF000000"/>
        <rFont val="Calibri"/>
        <family val="2"/>
        <scheme val="minor"/>
      </rPr>
      <t xml:space="preserve">Ellis, D. A., J. W. Martin, S. A. Mabury, M. D. Hurley, M. P. Sulbaek Andersen, and T. J. Wallington. 2003. "Atmospheric Lifetime of Fluorotelomer Alcohols." </t>
    </r>
    <r>
      <rPr>
        <i/>
        <sz val="11"/>
        <color rgb="FF000000"/>
        <rFont val="Calibri"/>
        <family val="2"/>
        <scheme val="minor"/>
      </rPr>
      <t>Environmental Science &amp; Technology</t>
    </r>
    <r>
      <rPr>
        <sz val="11"/>
        <color rgb="FF000000"/>
        <rFont val="Calibri"/>
        <family val="2"/>
        <scheme val="minor"/>
      </rPr>
      <t xml:space="preserve"> 37 (17): 3816-3820. doi: http://dx.doi.org/10.1021/es034136j.</t>
    </r>
  </si>
  <si>
    <r>
      <t xml:space="preserve">Enevoldsen, Rasmus, and Rene K. Juhler, 2010. "Perfluorinated compounds (PFCs) in groundwater and aqueous soil extracts: using inline SPE-LC-MS/MS for screening and sorption characterisation of perfluorooctane sulphonate and related compounds." </t>
    </r>
    <r>
      <rPr>
        <i/>
        <sz val="11"/>
        <rFont val="Calibri"/>
        <family val="2"/>
        <scheme val="minor"/>
      </rPr>
      <t>Analytical and Bioanalytical Chemistry</t>
    </r>
    <r>
      <rPr>
        <sz val="11"/>
        <rFont val="Calibri"/>
        <family val="2"/>
        <scheme val="minor"/>
      </rPr>
      <t xml:space="preserve"> 398: 1161-1172. doi: http://dx.doi.org/10.1007/s00216-010-4066-0.</t>
    </r>
  </si>
  <si>
    <t xml:space="preserve">Two shallow soil types (i.e., sandy and clayey) tested for sorption and desorption of six PFAS.  Linear and Freundlich isotherms evaluated.  Incomplete mass balance, as sorbed mass was not directly quantified.    </t>
  </si>
  <si>
    <t>USEPA. 2023. “CompTox Chemicals Dashboard.” U. S. Environmental Protection Agency, Last Modified 10-27-2020. https://www.epa.gov/chemical-research/comptox-chemicals-dashboard.</t>
  </si>
  <si>
    <t>Fang, Bo, Hao Chen, Yue Zhou, Biting Qiao, Mujtaba Baqar, Yu Wang, Yiming Yao, Hongwen Sun. 2024. Fluorotelomer betaines and sulfonic acid in aerobic wetland soil: Stability, biotransformation, and bacterial community response. Journal of Hazardous Materials 477: 135261. https://doi.org/10.1016/j.jhazmat.2024.135261</t>
  </si>
  <si>
    <t>Cometabolic. Used diethylene glycol butyl ether as the sole carbon source.</t>
  </si>
  <si>
    <t>Fang, Bo, Yaozhi Zhang, Hao Chen, Biting Qiao, Hao Yu, Maosen Zhao, Meng Gao, Xiaoxiao Li, Yiming Yao, Lingyan Zhu, and Hongwen Sun. 2024. Stability and Biotransformation of 6:2 Fluorotelomer Sulfonic Acid,
Sulfonamide Amine Oxide, and Sulfonamide Alkylbetaine in Aerobic
Sludge.  Environmental Science &amp; Technology 58: 2446-2457.</t>
  </si>
  <si>
    <t>George, Michael. 1979. Aqueous Trifluoromethanesulfonic Acid Fuel Cells. Interim Technical Report. US Army Mobility Equipment Research &amp; Development Command. Contract No. DAAK70-78-0103.</t>
  </si>
  <si>
    <r>
      <t xml:space="preserve">Gomis, M. I., Z. Wang, M. Scheringer, and I. T. Cousins. 2015. "A Modeling Assessment of the Physicochemical Properties and Environmental Fate of Emerging and Novel Per- and Polyfluoroalkyl Substances." </t>
    </r>
    <r>
      <rPr>
        <i/>
        <sz val="11"/>
        <rFont val="Calibri"/>
        <family val="2"/>
        <scheme val="minor"/>
      </rPr>
      <t>Science of The Total Environment</t>
    </r>
    <r>
      <rPr>
        <sz val="11"/>
        <rFont val="Calibri"/>
        <family val="2"/>
        <scheme val="minor"/>
      </rPr>
      <t xml:space="preserve"> 505: 981-991. doi: https://doi.org/10.1016/j.scitotenv.2014.10.062.</t>
    </r>
  </si>
  <si>
    <t xml:space="preserve">Modelled values using COSMOtherm and SPARC. Values given are for the anionic species, KA-oc.  </t>
  </si>
  <si>
    <r>
      <t>Goss, Kai-Uwe, Guido Bronner, Tom Harner, Monika Hertel, and Torsten C. Schmidt. "The partition behavior of fluorotelomer alcohols and olefins." </t>
    </r>
    <r>
      <rPr>
        <i/>
        <sz val="11"/>
        <color rgb="FF222222"/>
        <rFont val="Calibri"/>
        <family val="2"/>
        <scheme val="minor"/>
      </rPr>
      <t>Environmental Science &amp; Technology</t>
    </r>
    <r>
      <rPr>
        <sz val="11"/>
        <color rgb="FF222222"/>
        <rFont val="Calibri"/>
        <family val="2"/>
        <scheme val="minor"/>
      </rPr>
      <t> 40, no. 11 (2006): 3572-3577. doi: http://dx.doi.org/10.1021/es060004p</t>
    </r>
  </si>
  <si>
    <r>
      <t xml:space="preserve">Goss, Kai-Uwe. 2008. "The pKa Values of PFOA and Other Highly Fluorinated Carboxylic Acids."  </t>
    </r>
    <r>
      <rPr>
        <i/>
        <sz val="11"/>
        <rFont val="Calibri"/>
        <family val="2"/>
        <scheme val="minor"/>
      </rPr>
      <t>Environmental Science &amp; Technology</t>
    </r>
    <r>
      <rPr>
        <sz val="11"/>
        <rFont val="Calibri"/>
        <family val="2"/>
        <scheme val="minor"/>
      </rPr>
      <t xml:space="preserve"> 42 (2): 456-458. doi: http://dx.doi.org/10.1021/es702192c.</t>
    </r>
  </si>
  <si>
    <t>Guelfo, J. L., and C. P. Higgins. 2013. “Subsurface Transport Potential of Perfluoroalkyl Acids at Aqueous Film-Forming Foam (AFFF)-Impacted Sites.” Environmental Science &amp; Technology 47 (9):4164-4171. doi: http://dx.doi.org/10.1021/es3048043.</t>
  </si>
  <si>
    <t xml:space="preserve">Variety of solid phases selected "to represent a variety of geochemical and physical characteristics", including a sandy clay loam with a high iron oxide content (i.e., likely net positive charge).  Linear and Freundlich isotherms.  Minor (and isolated) competitive sorption effects observed.  C3 and C4 deviations from common chain length trends in Kd likely indicative of importance of van der Waals effects and/or preferential/selective availability of sorption sites.  Significant co-contaminant findings.       </t>
  </si>
  <si>
    <t>Hamid, Hanna, Loretta Y. Li, and John R. Grace. 2020. Effect of substrate concentrations on aerobic biotransformation of 6:2 fluorotelomer sulfonate (6:2 FTS) in landfill leachate. Chemosphere 261: 128108.</t>
  </si>
  <si>
    <t>Three replicates with leachate, diluted leachate, and no leachate. Results confounded by background PFCA concentrations.</t>
  </si>
  <si>
    <r>
      <rPr>
        <sz val="11"/>
        <color rgb="FF000000"/>
        <rFont val="Calibri"/>
        <family val="2"/>
        <scheme val="minor"/>
      </rPr>
      <t xml:space="preserve">Hanna Hamid, Loretta Y. Li, John R. Grace. 2020. Aerobic biotransformation of fluorotelomer compounds in landfill leachate-sediment. </t>
    </r>
    <r>
      <rPr>
        <i/>
        <sz val="11"/>
        <color rgb="FF000000"/>
        <rFont val="Calibri"/>
        <family val="2"/>
        <scheme val="minor"/>
      </rPr>
      <t>Science of the Total Environment</t>
    </r>
    <r>
      <rPr>
        <sz val="11"/>
        <color rgb="FF000000"/>
        <rFont val="Calibri"/>
        <family val="2"/>
        <scheme val="minor"/>
      </rPr>
      <t xml:space="preserve"> 713: 136547.</t>
    </r>
  </si>
  <si>
    <t>Harding-Marjanovic, K.C., Houtz, E.F., Yi, S., Field, J.A., Sedlak, D.L., Alvarez-Cohen, L., 2015. Aerobic biotransformation of fluorotelomer thioether amido sulfonate (Lodyne) in AFFF-amended microcosms. Environ. Sci. Technol. 49 (13), 7666–7674. https://doi.org/10.1021/acs.est.5b01219.</t>
  </si>
  <si>
    <r>
      <t xml:space="preserve">Hekster, Floris, Remi Laane, and Pim De Voogt. 2003. "Environmental and Toxicity Effects of Perfluoroalkylated Substances." </t>
    </r>
    <r>
      <rPr>
        <i/>
        <sz val="11"/>
        <rFont val="Calibri"/>
        <family val="2"/>
        <scheme val="minor"/>
      </rPr>
      <t>Reviews of Environmental Contamination &amp; Toxicology</t>
    </r>
    <r>
      <rPr>
        <sz val="11"/>
        <rFont val="Calibri"/>
        <family val="2"/>
        <scheme val="minor"/>
      </rPr>
      <t xml:space="preserve"> 179: 99-121. https://link.springer.com/chapter/10.1007/0-387-21731-2_4</t>
    </r>
  </si>
  <si>
    <t>Henne, Albert L. and Charles J. Fox. 1951. "Ionization Constants of Fluorinated Acids." Journal of the American Chemical Society 73 (5): 2323−2325. doi: https://doi.org/10.1021/ja01149a122.</t>
  </si>
  <si>
    <t>Higgins, C. P., and R. G. Luthy. 2006. “Sorption of Perfluorinated Surfactants on Sediments.” Environmental Science &amp; Technology 40 (23):7251-7256. doi: http://dx.doi.org/10.1021/es061000n.</t>
  </si>
  <si>
    <t>Sorption to five freshwater sediment samples with a range of organic carbon content (0.56% to 9.66%), cation exchange capacity, and grain size distribution was assessed.  Log-transformed and Freundlich isotherms assessed.</t>
  </si>
  <si>
    <t>Hoke, Robert A., Barbra D. Ferrell, Terry L. Sloman, Robert C. Buck, L. William Buxton, 2016. "Aquatic Hazard, Bioaccumulation and Screening Risk Assessment for Ammonium 2,3,3,3-tetrafluoro-2-(heptafluoropropoxy)-propanoate." Chemosphere 149: 336-342. doi: https://doi.org/10.1016/j.chemosphere.2016.01.009.</t>
  </si>
  <si>
    <t>Hopkins, Zachary R., Mei Sun, Jamie C. DeWitt, Detlef R. Knappe. 2018. "Recently Detected Drinking Water Contaminants: GenX and Other Per- and Polyfluoroalkyl Ether Acids." Journal - American Water Works Association 110 (7): 13-28. doi: http://dx.doi.org/10.1002/awwa.1073.</t>
  </si>
  <si>
    <r>
      <t xml:space="preserve">Inoue, Y., N. Hashizume, N. Yakata, H. Murakami, Y. Suzuki, E. Kikushima, and M. Otsuka. 2012. "Unique Physicochemical Properties of Perfluorinated Compounds and Their Bioconcentration in Common Carp </t>
    </r>
    <r>
      <rPr>
        <i/>
        <sz val="11"/>
        <rFont val="Calibri"/>
        <family val="2"/>
        <scheme val="minor"/>
      </rPr>
      <t>Cyprinus carpio</t>
    </r>
    <r>
      <rPr>
        <sz val="11"/>
        <rFont val="Calibri"/>
        <family val="2"/>
        <scheme val="minor"/>
      </rPr>
      <t xml:space="preserve"> L." </t>
    </r>
    <r>
      <rPr>
        <i/>
        <sz val="11"/>
        <rFont val="Calibri"/>
        <family val="2"/>
        <scheme val="minor"/>
      </rPr>
      <t>Archives of Environmental Contamination &amp; Toxicology</t>
    </r>
    <r>
      <rPr>
        <sz val="11"/>
        <rFont val="Calibri"/>
        <family val="2"/>
        <scheme val="minor"/>
      </rPr>
      <t xml:space="preserve"> 62 (4): 672-680. doi: http://dx.doi.org/10.1007/s00244-011-9730-7.</t>
    </r>
  </si>
  <si>
    <t>Jing, Ping, Patrick J. Rodgers, and Shigeru Amemiya.  2009.  High Lipophilicty of Perfluoroalkyl Carboxylate and Sulfonate:  Implications for Their Membrane Permeability.  J Am Chem Soc. 131(6): 2290–2296. http://dx.doi.org/10.1021/ja807961s</t>
  </si>
  <si>
    <t>VP values estimated from Figure 3.</t>
  </si>
  <si>
    <r>
      <t xml:space="preserve">Johnson, Ramona L., Amy J. Anschutz, Jean M. Smolen, Matt F. Simcik, and R. Lee Penn. 2007. "The Adsorption of Perfluorooctane Sulfonate onto Sand, Clay, and Iron Oxide Surfaces." </t>
    </r>
    <r>
      <rPr>
        <i/>
        <sz val="11"/>
        <rFont val="Calibri"/>
        <family val="2"/>
        <scheme val="minor"/>
      </rPr>
      <t>Journal of Chemical Engineering Data</t>
    </r>
    <r>
      <rPr>
        <sz val="11"/>
        <rFont val="Calibri"/>
        <family val="2"/>
        <scheme val="minor"/>
      </rPr>
      <t xml:space="preserve"> 52: 1165-1170. doi: http://dx.doi.org/10.1021/je060285g</t>
    </r>
  </si>
  <si>
    <t>Adsorption to kaolinite clay, the Ottawa sand standard, an iron coated sand, goethite (iron oxide), and Lake Michigan sediment was assessed.  Fitted with linear, Langmuir, and Freundlich isotherms.</t>
  </si>
  <si>
    <t>Just, Hildegard, Bernd Gockener, Rene Lammer, Lars Wiedemann-Krantz, Thorsten Stahl, Jorn Breuer, Matthias Gassmann, Eva Weidemann, Mark Bucking, and Janine Kowalczyk. 2022. "Degradation and Plant Transfer Rates of Seven Fluorotelomer Precursors to Perfluoroalkyl Acids and F‑53B in a Soil-Plant System with Maize (Zea mays L.)." Journal of Agricultural and Food Chemistry 70: 8920-8930.</t>
  </si>
  <si>
    <r>
      <t>Kaiser, Mary A., Daryl P. Cobranchi, Chien-Ping Chai Kao, Paul J. Krusic,
Alexander A. Marchione, and Robert C. Buck. 2004. "Physicochemical Properties of 8-2 Fluorinated Telomer B Alcohol."</t>
    </r>
    <r>
      <rPr>
        <i/>
        <sz val="11"/>
        <rFont val="Calibri"/>
        <family val="2"/>
        <scheme val="minor"/>
      </rPr>
      <t xml:space="preserve"> Journal of Chemical &amp; Engineering Data</t>
    </r>
    <r>
      <rPr>
        <sz val="11"/>
        <rFont val="Calibri"/>
        <family val="2"/>
        <scheme val="minor"/>
      </rPr>
      <t xml:space="preserve"> 49 (4): 912-916. doi: http://dx.doi.org/10.1021/je034222z.</t>
    </r>
  </si>
  <si>
    <t>Kaiser, Mary A., Barbara S. Larsen, Chien-Ping C. Kao, and Robert C. Buck. 2005.  Vapor Pressures of Perfluorooctanoic, -nonanoic, -decanoic, -undecanoic, and -dodecanoic Acids.  J. Chem. Eng. Data 2005, 50, 1841-1843</t>
  </si>
  <si>
    <r>
      <t xml:space="preserve">Kaiser, M. A., C. A. Barton, M. Botelho, R. C. Buck, L. W. Buxton, J. Gannon, C.-P. C. Kao, B. S. Larsen, M. H. Russell, N. Wang, R. L. Waterland. 2006. "Understanding the Transport of Anthropogenic Fluorinated Compounds in the Environment." </t>
    </r>
    <r>
      <rPr>
        <i/>
        <sz val="11"/>
        <rFont val="Calibri"/>
        <family val="2"/>
        <scheme val="minor"/>
      </rPr>
      <t xml:space="preserve">Organohalogen Compounds </t>
    </r>
    <r>
      <rPr>
        <sz val="11"/>
        <rFont val="Calibri"/>
        <family val="2"/>
        <scheme val="minor"/>
      </rPr>
      <t xml:space="preserve">68: 675-678. </t>
    </r>
  </si>
  <si>
    <t>Kancharla, S, Aditya Choudhary, Ryan T. Davis, Dengpan Dong, Dmitry Bedrov,
Marina Tsianou, and Paschalis Alexandridis. 2022. "GenX in water: Interactions and self-assembly." Journal of Hazardous Materials 428: 128137.</t>
  </si>
  <si>
    <t>Used multiple techniques of surface tension, fluorescence, viscosity, and small-angle neutron scattering (SANS), and molecular dynamics (MD) simulations. Micelles have an association number of 6–8 and a 10 Å radius. The different assays were done at different temperatures (20.5 - 22 deg. C)</t>
  </si>
  <si>
    <r>
      <t xml:space="preserve">Kauck, E.A. and A.R. Diesslin. 1951. "Some Properties of Perfluorocarboxylic Acids." </t>
    </r>
    <r>
      <rPr>
        <i/>
        <sz val="11"/>
        <rFont val="Calibri"/>
        <family val="2"/>
        <scheme val="minor"/>
      </rPr>
      <t>Industrial &amp; Engineering Chemistry</t>
    </r>
    <r>
      <rPr>
        <sz val="11"/>
        <rFont val="Calibri"/>
        <family val="2"/>
        <scheme val="minor"/>
      </rPr>
      <t xml:space="preserve"> 43(10): 2332-2334. doi: http://dx.doi.org/10.1021/ie50502a044.</t>
    </r>
  </si>
  <si>
    <r>
      <t>Kim, Minhee, Loretta Y. Li, John R. Grace, and Chaoyang Yue. "Selecting reliable physicochemical properties of perfluoroalkyl and polyfluoroalkyl substances (PFASs) based on molecular descriptors." </t>
    </r>
    <r>
      <rPr>
        <i/>
        <sz val="11"/>
        <color rgb="FF222222"/>
        <rFont val="Calibri"/>
        <family val="2"/>
        <scheme val="minor"/>
      </rPr>
      <t>Environmental pollution</t>
    </r>
    <r>
      <rPr>
        <sz val="11"/>
        <color rgb="FF222222"/>
        <rFont val="Calibri"/>
        <family val="2"/>
        <scheme val="minor"/>
      </rPr>
      <t> 196 (2015): 462-472. doi: http://dx.doi.org/10.1016/j.envpol.2014.11.008</t>
    </r>
  </si>
  <si>
    <t>Kim, Seung-Kyu, Donghao Li, Kurunthachalam Kannan. 2019. "In situ measurement-based partitioning behavior of perfluoroalkyl acids in the atmosphere." Environ. Eng. Res. 25(3): 281-289 . Doi: https://doi.org/10.4491/eer.2019.130</t>
  </si>
  <si>
    <t>Klevan, Craig, Seth Caines, Andre Gomes, and Kurt D. Pennell. 2024. "Accurate Determination of Perfluorooctanoate Aqueous Solubility, Critical Micelle Concentration, and Acid Dissociation Constant." Environmental Science &amp; Technology Letters 11(12): 1398-1405.</t>
  </si>
  <si>
    <r>
      <t xml:space="preserve">Krusic, Paul J., Alexander A. Marchione, Fredric Davidson, Mary A. Kaiser, Chien-Ping C. Kao, Raymond E. Richardson, Miguel Botelho, Robert L. Waterland, and Robert C. Buck. 2005. "Vapor Pressure and Intramolecular Hydrogen Bonding in Fluorotelomer Alcohols."  </t>
    </r>
    <r>
      <rPr>
        <i/>
        <sz val="11"/>
        <rFont val="Calibri"/>
        <family val="2"/>
        <scheme val="minor"/>
      </rPr>
      <t>The Journal of Physical Chemistry A</t>
    </r>
    <r>
      <rPr>
        <sz val="11"/>
        <rFont val="Calibri"/>
        <family val="2"/>
        <scheme val="minor"/>
      </rPr>
      <t xml:space="preserve"> 109 (28): 6232-6241.doi: doi: http://dx.doi.org/10.1021/jp0502961.</t>
    </r>
  </si>
  <si>
    <r>
      <t xml:space="preserve">Kunieda, Hironobu and Kozo Shinoda. 1976. "Krafft Points, Critical Micelle Concentrations, Surface Tension, and Solubilizing Power of Aqueous Solutions of Fluorinated Surfactants." </t>
    </r>
    <r>
      <rPr>
        <i/>
        <sz val="11"/>
        <rFont val="Calibri"/>
        <family val="2"/>
        <scheme val="minor"/>
      </rPr>
      <t>The Journal of Physical Chemistry</t>
    </r>
    <r>
      <rPr>
        <sz val="11"/>
        <rFont val="Calibri"/>
        <family val="2"/>
        <scheme val="minor"/>
      </rPr>
      <t xml:space="preserve"> 80 (22): 2468-2470. doi: http://dx.doi.org/10.1021/j100563a007.</t>
    </r>
  </si>
  <si>
    <r>
      <t>Kutsuna, Shuzo, and Hisao Hori. 2008. "Experimental determination of Henry's law constant of perfluorooctanoic acid (PFOA) at 298 K by means of an inert-gas stripping method with a helical plate." </t>
    </r>
    <r>
      <rPr>
        <i/>
        <sz val="11"/>
        <color rgb="FF222222"/>
        <rFont val="Calibri"/>
        <family val="2"/>
        <scheme val="minor"/>
      </rPr>
      <t>Atmospheric Environment</t>
    </r>
    <r>
      <rPr>
        <sz val="11"/>
        <color rgb="FF222222"/>
        <rFont val="Calibri"/>
        <family val="2"/>
        <scheme val="minor"/>
      </rPr>
      <t> 42(39): 8883-8892. doi: doi: http://dx.doi.org/10.1016/j.atmosenv.2008.09.008.</t>
    </r>
  </si>
  <si>
    <r>
      <t xml:space="preserve">Kwadijk,  C.J.A.F., P. Korytár, and A.A. Koelmans. 2010. "Distribution of Perfluorinated Compounds in Aquatic Systems in The Netherlands." </t>
    </r>
    <r>
      <rPr>
        <i/>
        <sz val="11"/>
        <rFont val="Calibri"/>
        <family val="2"/>
        <scheme val="minor"/>
      </rPr>
      <t>Environmental Science &amp; Technology</t>
    </r>
    <r>
      <rPr>
        <sz val="11"/>
        <rFont val="Calibri"/>
        <family val="2"/>
        <scheme val="minor"/>
      </rPr>
      <t xml:space="preserve"> 44: 3746-3751. doi: doi: http://dx.doi.org/10.1021/es100485e.</t>
    </r>
  </si>
  <si>
    <t>No correlation with pH and/or Ca2+ observed in this study at P &gt; 0.05 (but possibly due to variability in field conditions).  Only (linear) Kd values for PFOS and PFOA correlated with Foc (i.e., p &lt; 0.03 and p &lt; 0.05, respectively).  SD effects possibly obscuring trends for higher MW / longer chain PFAAs (e.g., PFNA to PFDcA). Sediment samples were composited over a 30 m radius, not collected concurrently with surface water samples.</t>
  </si>
  <si>
    <t>Kwan, Wai Chi. "Physical property determination of perfluorinated surfactants." PhD diss., National Library of Canada= Bibliothèque nationale du Canada, 2001.</t>
  </si>
  <si>
    <r>
      <t xml:space="preserve">Labadie, Pierre, and Marc Chevreuil. 2011. "Partitioning behaviour of perfluorinated alkyl contaminants between water, sediment and fish in the Orge River (nearby Paris, France)." </t>
    </r>
    <r>
      <rPr>
        <i/>
        <sz val="11"/>
        <rFont val="Calibri"/>
        <family val="2"/>
        <scheme val="minor"/>
      </rPr>
      <t>Environmental Pollution</t>
    </r>
    <r>
      <rPr>
        <sz val="11"/>
        <rFont val="Calibri"/>
        <family val="2"/>
        <scheme val="minor"/>
      </rPr>
      <t xml:space="preserve"> 159: 391-397. doi: doi: http://dx.doi.org/10.1016/j.envpol.2010.10.039.</t>
    </r>
  </si>
  <si>
    <t>Calculated partition coefficients using a paired sediment (compiled) and water sample (collected in triplicate) from the Orge River in France. The site was impacted by urban runoff and sewage discharge.</t>
  </si>
  <si>
    <t>Langberg, Håkon A.,  Gijs D. Breedveld, Gøril Aa. Slinde, Hege M. Grønning, Åse Høisæter, Morten Jartun, Thomas Rundberget, Bjørn M. Jenssen, and Sarah E. Hale. 2020. Fluorinated Precursor Compounds in Sediments as a Source of
Perfluorinated Alkyl Acids (PFAA) to Biota. Environmental Science &amp; Technology 54: 13077-13089.</t>
  </si>
  <si>
    <r>
      <t>Used paired water and sediment concentratios from a lake in Norway. Only PFOS displayed a positive correlation between K</t>
    </r>
    <r>
      <rPr>
        <vertAlign val="subscript"/>
        <sz val="11"/>
        <color theme="1"/>
        <rFont val="Calibri"/>
        <family val="2"/>
        <scheme val="minor"/>
      </rPr>
      <t>D</t>
    </r>
    <r>
      <rPr>
        <sz val="11"/>
        <color theme="1"/>
        <rFont val="Calibri"/>
        <family val="2"/>
        <scheme val="minor"/>
      </rPr>
      <t xml:space="preserve"> and TOC.</t>
    </r>
  </si>
  <si>
    <t>Lang, Cleston C. 2000. The Aerobic Biodegradation of N-EtFOSE Alcohol by the Microbial Activity Present in Municipal Wastewater Treatment Sludge. Biodegradation Study Report. 3M Project ID: LIMS E00-2252.</t>
  </si>
  <si>
    <t>Lange, Cleston C. 2018. Anaerobic Biotransformation of N-methyl Perfluorobutanesulfonamido Ethanol and N-ethyl Perfluorooctanesulfonamido Ethanol. Environmental Toxicology and Chemistry: 37(3), 768-779.</t>
  </si>
  <si>
    <r>
      <t xml:space="preserve">Lei, Ying Duan, Frank Wania, Dan Mathers, and Scott A. Mabury. 2004. "Determination of Vapor Pressures, Octanol-Air, and Water-Air Partition Coefficients for Polyfluorinated Sulfonamide, Sulfonamidoethanols, and Telomer Alcohols." </t>
    </r>
    <r>
      <rPr>
        <i/>
        <sz val="11"/>
        <rFont val="Calibri"/>
        <family val="2"/>
        <scheme val="minor"/>
      </rPr>
      <t>Journal of Chemical &amp; Engineering Data</t>
    </r>
    <r>
      <rPr>
        <sz val="11"/>
        <rFont val="Calibri"/>
        <family val="2"/>
        <scheme val="minor"/>
      </rPr>
      <t xml:space="preserve"> 49 (4): 1013-1022. doi: doi: http://dx.doi.org/10.1021/je049949h.</t>
    </r>
  </si>
  <si>
    <r>
      <t>Li, Hongxia, David Ellis, and Don Mackay. "Measurement of low air− water partition coefficients of organic acids by evaporation from a water surface." </t>
    </r>
    <r>
      <rPr>
        <i/>
        <sz val="11"/>
        <color rgb="FF222222"/>
        <rFont val="Calibri"/>
        <family val="2"/>
        <scheme val="minor"/>
      </rPr>
      <t>Journal of Chemical &amp; Engineering Data</t>
    </r>
    <r>
      <rPr>
        <sz val="11"/>
        <color rgb="FF222222"/>
        <rFont val="Calibri"/>
        <family val="2"/>
        <scheme val="minor"/>
      </rPr>
      <t> 52, no. 5 (2007): 1580-1584. doi: doi: http://dx.doi.org/10.1021/je600556d.</t>
    </r>
  </si>
  <si>
    <r>
      <t>Li, Rui, Munoz, Gabriel, Liu, Yanan, Suve Sebastien, Subhasis, Ghoshal, Liu, Jinxia. 2019. Transformation of novel polyfluoroalkyl substances (PFASs) as cocontaminants during biopile remediation of petroleum hydrocarbons.</t>
    </r>
    <r>
      <rPr>
        <i/>
        <sz val="11"/>
        <color theme="1"/>
        <rFont val="Calibri"/>
        <family val="2"/>
        <scheme val="minor"/>
      </rPr>
      <t xml:space="preserve"> Journal of Hazardous Materials</t>
    </r>
    <r>
      <rPr>
        <sz val="11"/>
        <color theme="1"/>
        <rFont val="Calibri"/>
        <family val="2"/>
        <scheme val="minor"/>
      </rPr>
      <t xml:space="preserve"> 362:140-147. https://doi.org/10.1016/j.jhazmat.2018.09.021
</t>
    </r>
  </si>
  <si>
    <t>Microcosm study from biopile soils. Petroleum hydrocarbons as co-contaminant. Authors gave a half-life without specifying the degradation pathway. Authors did not see concommitant increase in PFCAs as anticipated. No sterile controls.</t>
  </si>
  <si>
    <r>
      <t xml:space="preserve">Liu, Jinxia, and Linda S. Lee. 2005. "Solubility and Sorption by Soils of 8:2 Fluorotelomer Alcohol in Water and Cosolvent Systems."  </t>
    </r>
    <r>
      <rPr>
        <i/>
        <sz val="11"/>
        <rFont val="Calibri"/>
        <family val="2"/>
        <scheme val="minor"/>
      </rPr>
      <t>Environmental Science &amp; Technology</t>
    </r>
    <r>
      <rPr>
        <sz val="11"/>
        <rFont val="Calibri"/>
        <family val="2"/>
        <scheme val="minor"/>
      </rPr>
      <t xml:space="preserve"> 39 (19): 7535-7540. doi: http://dx.doi.org/10.1021/es051125c.</t>
    </r>
  </si>
  <si>
    <t>Sorption to five soil samples representing a range of textures, carbon content, and cation exchange capacity was assessed. Linear sorption model fitted.</t>
  </si>
  <si>
    <r>
      <t xml:space="preserve">Liu, J., and L. S. Lee. 2007. "Effect of Fluorotelomer Alcohol Chain Length on Aqueous Solubility and Sorption by Soils."  </t>
    </r>
    <r>
      <rPr>
        <i/>
        <sz val="11"/>
        <rFont val="Calibri"/>
        <family val="2"/>
        <scheme val="minor"/>
      </rPr>
      <t>Environmental Science &amp; Technology</t>
    </r>
    <r>
      <rPr>
        <sz val="11"/>
        <rFont val="Calibri"/>
        <family val="2"/>
        <scheme val="minor"/>
      </rPr>
      <t xml:space="preserve"> 41 (15): 5357-5362. doi: http://dx.doi.org/10.1021/es070228n.</t>
    </r>
  </si>
  <si>
    <t>Three soil samples were assessed: a silt loam, a clay loam, and a sandy loam. Organic carbon contents of the soils were 8.18%, 2.50%, and 0.52%, respectively. Linear and Freundlich isotherms assessed.</t>
  </si>
  <si>
    <r>
      <rPr>
        <sz val="11"/>
        <color rgb="FF000000"/>
        <rFont val="Calibri"/>
        <family val="2"/>
        <scheme val="minor"/>
      </rPr>
      <t xml:space="preserve">Liu Chen, and Jinxia Liu. 2016. Aerobic biotransformation of polyfluoroalkyl phosphate esters (PAPs) in soil. </t>
    </r>
    <r>
      <rPr>
        <i/>
        <sz val="11"/>
        <color rgb="FF000000"/>
        <rFont val="Calibri"/>
        <family val="2"/>
        <scheme val="minor"/>
      </rPr>
      <t>Environmental Pollution</t>
    </r>
    <r>
      <rPr>
        <sz val="11"/>
        <color rgb="FF000000"/>
        <rFont val="Calibri"/>
        <family val="2"/>
        <scheme val="minor"/>
      </rPr>
      <t xml:space="preserve"> 212: 230-237.</t>
    </r>
  </si>
  <si>
    <t>Liu, Jinxia, Ning Wang, Bogdan Szostek, Robert Buck, Patricia Panciroli, Patrick Folsom, Lisa Sulecki, Cheryl Bellin. 2010. 6-2 Fluorotelomer alcohol aerobic biodegradation in soil and mixed bacterial culture. Chemosphere 78: 437-444. doi:10.1016/j.chemosphere.2009.10.044</t>
  </si>
  <si>
    <t>Liu, Jinxia, Ning Wang, Robert Buck, Barry W. Wolstenholme, Patrick W. Folsom, Lisa M. Sulecki, Cheryl Bellin. 2010. Aerobic biodegradation of [14C] 6:2 fluorotelomer alcohol in a flow-through soil incubation system. Chemosphere 80:716-723. doi:10.1016/j.chemosphere.2010.05.027</t>
  </si>
  <si>
    <t>Liu, Jinxia, Guowei Zhong, Wei Li, and Sandra Mejia Avendano. 2019. Isomer-specific biotransformation of perfluoroalkyl sulfonamide
compounds in aerobic soil. Science of the Total Environment 651: 766-774. https://doi.org/10.1016/j.scitotenv.2018.09.214</t>
  </si>
  <si>
    <t>Branched isomer metabolites could not be quantified, so mass balance was only done on linear compound.</t>
  </si>
  <si>
    <t>Liu, M., Munoz, G., Vo Duy, S., Sauv´e, S., Liu, J., 2021. Stability of nitrogen-containing polyfluoroalkyl substances in aerobic soils. Environ. Sci. Technol. 55(8): 4698-4708. https://doi.org/10.1021/acs.est.0c05811 acs.est.0c05811.</t>
  </si>
  <si>
    <t>Used two different types of soil</t>
  </si>
  <si>
    <t>Lopez-Fontan, Jose, Felix Sarmiento, and Pablo C. Schulz, 2005. The aggregation of sodium perfluorooctanoate in water. Colloid Polym Sci 283: 862-871. http://dx.doi.org/10.1007/s00396-004-1228-7</t>
  </si>
  <si>
    <t>MacManus-Spencer, L. A., Monica L. Tse, Paul C. Hebert, Heather N. Bischel, and Richard G. Luthy. 2010. Binding of Perfluorocarboxylates to Serum Albumin: A Comparison of Analytical Methods. Anal. Chem. 82(3): 974–981. https://pubs.acs.org/doi/10.1021/ac902238u</t>
  </si>
  <si>
    <r>
      <t xml:space="preserve">Mejia Avendaño, S., &amp; Liu, J. 2015. Production of PFOS from aerobic soil biotransformation of two perfluoroalkyl sulfonamide derivatives. </t>
    </r>
    <r>
      <rPr>
        <i/>
        <sz val="11"/>
        <color rgb="FF000000"/>
        <rFont val="Calibri"/>
        <family val="2"/>
        <scheme val="minor"/>
      </rPr>
      <t>Chemosphere</t>
    </r>
    <r>
      <rPr>
        <sz val="11"/>
        <color rgb="FF000000"/>
        <rFont val="Calibri"/>
        <family val="2"/>
        <scheme val="minor"/>
      </rPr>
      <t>, 119, 1084-1090. https://api.semanticscholar.org/CorpusID:4587713</t>
    </r>
  </si>
  <si>
    <t xml:space="preserve">Investigated biotransformation of EtFOSA (a.k.a. Sulfluramid) in semi-closed aerobic soil microcosms over 182 d. The major biotransformation products of EtFOSA were FOSA and FOSAA (levels stayed fairly constant from day 28 and were determined to be 30.3 and 34.2 mol%, respectively). The yield to PFOS by the end of incubation was 4.0 mol%. </t>
  </si>
  <si>
    <r>
      <t>Mejia-Avendaño, Sandra, Sung Vo Duy, Sébastien Sauvé, and Jinxia Liu. 2016. "Generation of Perfluoroalkyl Acids from Aerobic Biotransformation of Quaternary Ammonium Polyfluoroalkyl Surfactants." En</t>
    </r>
    <r>
      <rPr>
        <i/>
        <sz val="11"/>
        <color rgb="FF000000"/>
        <rFont val="Calibri"/>
        <family val="2"/>
        <scheme val="minor"/>
      </rPr>
      <t xml:space="preserve">viron. Sci. Technol.
</t>
    </r>
    <r>
      <rPr>
        <sz val="11"/>
        <color rgb="FF000000"/>
        <rFont val="Calibri"/>
        <family val="2"/>
        <scheme val="minor"/>
      </rPr>
      <t xml:space="preserve"> 50: 9923−9932.</t>
    </r>
  </si>
  <si>
    <r>
      <t xml:space="preserve">Milinovic, J., S. Lacorte, M. Vidal, and A. Rigol. 2015. “Sorption behaviour of perfluoroalkyl substances in soils.” </t>
    </r>
    <r>
      <rPr>
        <i/>
        <sz val="11"/>
        <rFont val="Calibri"/>
        <family val="2"/>
        <scheme val="minor"/>
      </rPr>
      <t>Science of The Total Environment</t>
    </r>
    <r>
      <rPr>
        <sz val="11"/>
        <rFont val="Calibri"/>
        <family val="2"/>
        <scheme val="minor"/>
      </rPr>
      <t xml:space="preserve"> 511:63-71. doi: doi: http://dx.doi.org/10.1016/j.scitotenv.2014.12.017.</t>
    </r>
  </si>
  <si>
    <t>Six soil samples reflecting a broad range of Foc; linear and Freundlich isotherms assessed; reversibility assessed; analytical technique: UPLC-MS/MS with two internal standards.</t>
  </si>
  <si>
    <r>
      <t xml:space="preserve">Moroi, Yoshikiyo, Hiroaki Yano, Osamu Shibata, and Tadashi Yonemitsu. 2001. "Determination of Acidity Constants of Perfluoroalkanoic Acids." </t>
    </r>
    <r>
      <rPr>
        <i/>
        <sz val="11"/>
        <rFont val="Calibri"/>
        <family val="2"/>
        <scheme val="minor"/>
      </rPr>
      <t>Bulletin of the Chemical Society of Japan</t>
    </r>
    <r>
      <rPr>
        <sz val="11"/>
        <rFont val="Calibri"/>
        <family val="2"/>
        <scheme val="minor"/>
      </rPr>
      <t xml:space="preserve"> 74 (4): 667-672. doi: http://dx.doi.org/10.1246/bcsj.74.667.</t>
    </r>
  </si>
  <si>
    <r>
      <t xml:space="preserve">Munoz, Gabriel, Jean-Luc Giraudel, Fabrizio Botta, François Lestremau, Marie-Hélène Dévier, Hélène Budzinski, and Pierre Labadie. 2015. "Spatial distribution and partitioning behavior of selected poly- and perfluoroalkyl substances in freshwater ecosystems: A French nationwide survey." </t>
    </r>
    <r>
      <rPr>
        <i/>
        <sz val="11"/>
        <rFont val="Calibri"/>
        <family val="2"/>
        <scheme val="minor"/>
      </rPr>
      <t>Science of the Total Environment</t>
    </r>
    <r>
      <rPr>
        <sz val="11"/>
        <rFont val="Calibri"/>
        <family val="2"/>
        <scheme val="minor"/>
      </rPr>
      <t xml:space="preserve"> 517: 48-56. doi: http://dx.doi.org/10.1016/j.scitotenv.2015.02.043.</t>
    </r>
  </si>
  <si>
    <t>Sediment and surface water samples collected across France. Used matching pairs and Cenken regressions to estimate the Koc values while incorporating data below the analytical detection limit.</t>
  </si>
  <si>
    <r>
      <t xml:space="preserve">Munoz, Gabriel, Hélène Budzinski, Marc Babut, Jérémy Lobry, Jonathan Selleslagh, Nathalie Tapiea, and Pierre Labadie. 2019. "Temporal variations of perfluoroalkyl substances partitioning between surface water, suspended sediment, and biota in a macrotidal estuary." </t>
    </r>
    <r>
      <rPr>
        <i/>
        <sz val="11"/>
        <rFont val="Calibri"/>
        <family val="2"/>
        <scheme val="minor"/>
      </rPr>
      <t>Chemosphere</t>
    </r>
    <r>
      <rPr>
        <sz val="11"/>
        <rFont val="Calibri"/>
        <family val="2"/>
        <scheme val="minor"/>
      </rPr>
      <t xml:space="preserve"> 233: 319-326. doi: doi: http://dx.doi.org/10.1016/j.chemosphere.2019.05.281.</t>
    </r>
  </si>
  <si>
    <t>Calculated partition coefficients using paired suspended particulate concentrations and water samples. Estuarine waters may result in higher partitioning values.</t>
  </si>
  <si>
    <r>
      <t xml:space="preserve">Munoz, Gabriel, Hélène Budzinski, and Pierre Labadie. 2017. "Influence of Environmental Factors on the Fate of Legacy and Emerging Per- and Polyfluoroalkyl Substances along the Salinity/Turbidity Gradient of a Macrotidal Estuary." </t>
    </r>
    <r>
      <rPr>
        <i/>
        <sz val="11"/>
        <rFont val="Calibri"/>
        <family val="2"/>
        <scheme val="minor"/>
      </rPr>
      <t>Environmental Science &amp; Technology</t>
    </r>
    <r>
      <rPr>
        <sz val="11"/>
        <rFont val="Calibri"/>
        <family val="2"/>
        <scheme val="minor"/>
      </rPr>
      <t xml:space="preserve"> 51: 12347-12357. doi: http://dx.doi.org/10.1021/acs.est.7b03626.</t>
    </r>
  </si>
  <si>
    <r>
      <t xml:space="preserve">Mussabek, Dauren, Lutz Ahrens, Kenneth M. Persson, and Ronny Berndtsson. 2019. "Temporal trends and sediment-water partitioning of per- and polyfluoroalkyl substances (PFAS) in lake sediment." </t>
    </r>
    <r>
      <rPr>
        <i/>
        <sz val="11"/>
        <rFont val="Calibri"/>
        <family val="2"/>
        <scheme val="minor"/>
      </rPr>
      <t>Chemosphere</t>
    </r>
    <r>
      <rPr>
        <sz val="11"/>
        <rFont val="Calibri"/>
        <family val="2"/>
        <scheme val="minor"/>
      </rPr>
      <t xml:space="preserve"> 227: 624-629. doi: http://dx.doi.org/10.1016/j.chemosphere.2019.04.074.</t>
    </r>
  </si>
  <si>
    <t xml:space="preserve">Samples taken from a freshwater lake in Sweden. Values calculated from paired water and sediment samples at one location. Top 1-2 cm of a sediment core were used. </t>
  </si>
  <si>
    <r>
      <t xml:space="preserve">Nguyen, Viet Tung, Karina Yew-Hoong Gin, Martin Reinhard
and Changhui Liu. 2012. "Occurrence, fate, and fluxes of perfluorochemicals (PFCs) in an urban catchment: Marina Reservior, Singapore." </t>
    </r>
    <r>
      <rPr>
        <i/>
        <sz val="11"/>
        <rFont val="Calibri"/>
        <family val="2"/>
        <scheme val="minor"/>
      </rPr>
      <t>Water Science &amp; Technology</t>
    </r>
    <r>
      <rPr>
        <sz val="11"/>
        <rFont val="Calibri"/>
        <family val="2"/>
        <scheme val="minor"/>
      </rPr>
      <t xml:space="preserve"> 66: 2439-2446. doi: http://dx.doi.org/10.2166/wst.2012.475.</t>
    </r>
  </si>
  <si>
    <t>Field-based Kd and Koc calculations from paired surface water and sediment concentrations in Marina Watershed Singapore</t>
  </si>
  <si>
    <r>
      <t xml:space="preserve">Nguyen, Tung V., Martin Reinhard, Huiting Chen, and Karina Y.-H. Gin. 2016. "Fate and transport of perfluoro- and polyfluoroalkyl substances including perfluorooctane sulfonamides in a managed urban water body." </t>
    </r>
    <r>
      <rPr>
        <i/>
        <sz val="11"/>
        <rFont val="Calibri"/>
        <family val="2"/>
        <scheme val="minor"/>
      </rPr>
      <t>Environ Sci Pollut Res</t>
    </r>
    <r>
      <rPr>
        <sz val="11"/>
        <rFont val="Calibri"/>
        <family val="2"/>
        <scheme val="minor"/>
      </rPr>
      <t>: 23: 10382–10392. doi: http://dx.doi.org/10.1007/s11356-016-6788-9.</t>
    </r>
  </si>
  <si>
    <t xml:space="preserve">Field-based Kd and Koc calculations from paired surface water and sediment concentrations in unnamed urban waterway </t>
  </si>
  <si>
    <t>Ochoa-Herrera, Valeria, Jim A. Field, Antonia Luna-Velasco, Reyes Sierra-Alvarez. 2016. "Microbial toxicity and biodegradability of perfluorooctane sulfonate (PFOS) and shorter chain perfluoroalkyl and polyfluoroalkyl substances (PFASs). Environmental Science: Processes &amp; Impacts 18:1236-1246. https://doi.org/10.1039/C6EM00366D</t>
  </si>
  <si>
    <t>Olivares, C.I., Yi, S., Cook, E.K., Choi, Y.J., Montagnolli, R., Byrne, A., Higgins, C.P., Sedlak, D.L., Alvarez-Cohen, L., 2022. Aerobic BTEX biodegradation increases yield of perfluoroalkyl carboxylic acids from biotransformation of a polyfluoroalkyl surfactant, 6:2 FtTAoS. Environ. Sci.: Processes Impacts 24 (3), 439–446. https://doi.org/10.1039/D1EM00494H.</t>
  </si>
  <si>
    <r>
      <t xml:space="preserve">Pereira, Hugo Campos, Malin Ullberg, Dan Berggren Kleja,
Jon Petter Gustafsson, and Lutz Ahrens. 2018. "Sorption of perfluoroalkyl substances (PFASs) to an organic soil horizon - Effect of cation composition and pH." </t>
    </r>
    <r>
      <rPr>
        <i/>
        <sz val="11"/>
        <rFont val="Calibri"/>
        <family val="2"/>
        <scheme val="minor"/>
      </rPr>
      <t>Chemosphere</t>
    </r>
    <r>
      <rPr>
        <sz val="11"/>
        <rFont val="Calibri"/>
        <family val="2"/>
        <scheme val="minor"/>
      </rPr>
      <t xml:space="preserve"> 207: 183-191. doi: http://dx.doi.org/10.1016/j.chemosphere.2018.05.012.</t>
    </r>
  </si>
  <si>
    <t>Found that Koc varied with cationic concentration of the soil organic matter as well as the pH of the solution.</t>
  </si>
  <si>
    <r>
      <t xml:space="preserve">Plassman, Merle. M., Torsten Meyer, Ying Duan Lei, Frank Wania, Michael S. McLachlan, and Urs Berger. 2011. "Laboratory studies on the fate of perfluoroalkyl carboxylates and sulfonates during snowmelt."  </t>
    </r>
    <r>
      <rPr>
        <i/>
        <sz val="11"/>
        <color theme="1"/>
        <rFont val="Calibri"/>
        <family val="2"/>
        <scheme val="minor"/>
      </rPr>
      <t>Environmental Science &amp; Technology</t>
    </r>
    <r>
      <rPr>
        <sz val="11"/>
        <color theme="1"/>
        <rFont val="Calibri"/>
        <family val="2"/>
        <scheme val="minor"/>
      </rPr>
      <t xml:space="preserve"> 45: 6872-6878. doi: http://dx.doi.org/10.1021/es201249d.</t>
    </r>
  </si>
  <si>
    <t>PubChem web page. National Center for Biotechnology Information. National Library of Medicine, National Institutes of Health, Department of Health and Human Services, Bethesda, MD. https://pubchem.ncbi.nlm.nih.gov/.</t>
  </si>
  <si>
    <t>Qiao, Weichuan, Jiahui Miao, Hongmei Jiang, Qiwen Yang. 2021. "Degradation and effect of 6:2 fluorotelomer alcohol in aerobic composting of sludge." Biodegradation 32:99-112. https://doi.org/10.1007/s10532-020-09924-9</t>
  </si>
  <si>
    <t>Temperature varied with microbial activity. Maximum reported temperature given in table.</t>
  </si>
  <si>
    <r>
      <t>Rayne, Sierra, and Kaya Forest. 2009. "Perfluoroalkyl sulfonic and carboxylic acids: a critical review of physicochemical properties, levels and patterns in waters and wastewaters, and treatment methods." </t>
    </r>
    <r>
      <rPr>
        <i/>
        <sz val="11"/>
        <color rgb="FF222222"/>
        <rFont val="Calibri"/>
        <family val="2"/>
        <scheme val="minor"/>
      </rPr>
      <t>Journal of Environmental Science and Health Part A</t>
    </r>
    <r>
      <rPr>
        <sz val="11"/>
        <color rgb="FF222222"/>
        <rFont val="Calibri"/>
        <family val="2"/>
        <scheme val="minor"/>
      </rPr>
      <t> 44(12): 1145-1199. doi: http://dx.doi.org/10.1080/10934520903139811.</t>
    </r>
  </si>
  <si>
    <t>Rayne, Sierra, and Kaya Forest. 2009. "Congener-specific organic carbon-normalized soil and sediment-water partitioning coefficients for the C1 through C8 perfluoroalkyl carboxylic and sulfonic acids." Journal of Environmental Science and Health Part A 44: 1374–1387. DOI: 10.1080/10934520903217229</t>
  </si>
  <si>
    <r>
      <t>Rayne, Sierra, Kaya Forest, and Ken J. Friesen. 2009. "Estimated congener specific gas-phase atmospheric behavior and fractionation of perfluoroalkyl compounds: Rates of reaction with atmospheric oxidants, air-water partitioning, and wet/dry deposition lifetimes." </t>
    </r>
    <r>
      <rPr>
        <i/>
        <sz val="11"/>
        <color rgb="FF222222"/>
        <rFont val="Calibri"/>
        <family val="2"/>
        <scheme val="minor"/>
      </rPr>
      <t>Journal of Environmental Science and Health Part A</t>
    </r>
    <r>
      <rPr>
        <sz val="11"/>
        <color rgb="FF222222"/>
        <rFont val="Calibri"/>
        <family val="2"/>
        <scheme val="minor"/>
      </rPr>
      <t> 44(10): 936-954. 10. doi: http://dx.doi.org/10.1080/10934520902996815.</t>
    </r>
  </si>
  <si>
    <t>Rhoads, Kurt R., Janssen, Elisabeth M., Luthy, Richard G., &amp; Criddle, Craig S. (2008). "Aerobic Biotransformation and Fate of N-Ethyl Perfluorooctane Sulfonamidoethanol (N-EtFOSE) in Activated Sludge." Environmental Science &amp; Technology, 42, 2873-2878. 10.1021/es702866c</t>
  </si>
  <si>
    <t>Microcosm study. Several metabolites. Values are the removal rates and average of 3 replicates.</t>
  </si>
  <si>
    <t>Rhoads, Kurt R., Rostkowski, Katherine H., Kitanidis, Peter K. &amp; Criddle, Craig S. (2013). "Use of on-site bioreactors to estimate the biotransformation rate of N-ethyl perfluorooctane sulfonamidoethanol (N-EtFOSE) during activated sludge treatment." Chemosphere, 92(6): 702-707. https://doi.org/10.1016/j.chemosphere.2013.04.059</t>
  </si>
  <si>
    <t>Royer, Laurel A., Linda S. Lee, Mark H. Russell, Loring F. Nies, Ronald F. Turco. 2014. "Microbial transformation of 8:2 fluorotelomer acrylate and methacrylate in aerobic soils." Chemosphere 129: 54-61. http://dx.doi.org/10.1016/j.chemosphere.2014.09.077</t>
  </si>
  <si>
    <t>Ruan, Ting, Bogdan Szostek, Patrick Folsom, Barry Wolstenholme, Runzeng Liu, Jiyan Liu, Guibin Jiang, Ning Wang, and Robert Buck. 2013. "Aerobic Soil Biotransformation of 6:2 Fluorotelomer Iodide." Environmental Science &amp; Technology 47: 11504-11511. dx.doi.org/10.1021/es4018128</t>
  </si>
  <si>
    <t xml:space="preserve">Russel, David G., and John B. Senior. 1980. "Studies on trifluoromethanesulfonic acid. Part 2. Conductivities of solutions of metal trifluoromethanesulfonates and other bases in trifluoromethanesu1fonic acid." Canadian Journal of Chemistry 58: 22-29. </t>
  </si>
  <si>
    <t>Used values cited in this paper</t>
  </si>
  <si>
    <t>Russell, Mark, William R. Berti, Bogdan Szostek, and Robert C. Buck. 2008. "Investigation of the Biodegradation Potential of a fluoroacrylate polymer Product in Aerobic Soils." Environmental Science &amp; Technology 42: 800-807. 10.1021/es0710499</t>
  </si>
  <si>
    <t>Russell, Mark, William R. Berti, Bogdan Szostek, Ning Wang, and Robert C. Buck. 2010. "Evaluation of PFO formation from the biodegradation of a fluorotelomer-based urethane polymer product in aerobic soils." Polymer Degradation and Stability 95: 79-85. doi:10.1016/j.polymdegradstab.2009.10.004</t>
  </si>
  <si>
    <t>Sander, R. 2023. "Compilation of Henry's law constants (version 5.0.0) for water as solvent." Atmos. Chem. Phys., 23: 10901-12440 doi:10.5194/acp-23-10901-2023</t>
  </si>
  <si>
    <r>
      <t xml:space="preserve">Schindler, Bryan J., James H. Buchanan, John J. Mahle, Gregory W. Peterson, and T. Grant Glover.  2013.  "Ambient temperature vapor pressure and adsorptoin capacity for (perfluorooctyl) ethylene, 3-(perfluorobutyl)propanol, perfluorohexanoic acid, ethyl perfluoroocatanoate, and perfluoro-3,6-dioxaheptanoic acid".  </t>
    </r>
    <r>
      <rPr>
        <i/>
        <sz val="11"/>
        <color rgb="FF222222"/>
        <rFont val="Calibri"/>
        <family val="2"/>
        <scheme val="minor"/>
      </rPr>
      <t>Journal of Chemical Engineering Data</t>
    </r>
    <r>
      <rPr>
        <sz val="11"/>
        <color rgb="FF222222"/>
        <rFont val="Calibri"/>
        <family val="2"/>
        <scheme val="minor"/>
      </rPr>
      <t xml:space="preserve">.  58(6): 1806-1812.  doi: https://doi.org/10.1021/je400205g </t>
    </r>
  </si>
  <si>
    <t>Shinoda, Kozo, Masakatsu Hato, and Takao Hayashi. 1972. "The Physicochemical Properties of Aqueous Solutions of Fluorinated Surfactants." The Journal of Physical Chemistry 76 (6): 909-914. doi: http://dx.doi.org/10.1021/j100650a021.</t>
  </si>
  <si>
    <t>Shoeib, Mahiba, Tom Harner, Michael Ikonomou, and Kurunthachalam Kannan. 2004. "Indoor and Outdoor Air Concentrations and Phase Partitioning of Perfluoroalkyl Sulfonamides and Polybrominated Diphenyl Ethers."  Environmental Science &amp; Technology 38 (5):1313-1320. doi: http://dx.doi.org/10.1021/es0305555..</t>
  </si>
  <si>
    <t>Sigma-aldrich web page: http://www.sigmaaldrich.com/united-states.html</t>
  </si>
  <si>
    <t>Solomon, K, G Velders, S Wilson, S Madronich, J Longstreth, P Aucamp, J Bornman. 2016. "Sources, fates, toxicity, and risks of trifluoroacetic acid and its salts: Relevance to substances regulated under the Montreal and Kyoto protocols." Journal of Toxicology and Environmental Health B 19(7): 289-304. https://doi.org/10.1080/10937404.2016.1175981</t>
  </si>
  <si>
    <t xml:space="preserve">Sorli, Jorid B., Marit Lag, Leni Ekeren, Jesus Perez-Gil, Line S. Haug, Emilie Da Silva, Muhammad N. Matrod, Kristine B. Gutzkow, and Birgitte Lindeman. 2020. Per- and polyfluoroalkyl substances (PFASs) modify lung surfactant function and pro-inflammatory responses in human bronchial epithelial cells. Toxicology in Viro 62: 104656. </t>
  </si>
  <si>
    <t>Steele, W. V.,  R. D. Chirico, S. E. Knipmeyer, and A. Nguyen.  2002.  Measurements of Vapor Pressure, Heat Capacity, and Density along the Saturation Line for Cyclopropane Carboxylic Acid, N,N-Diethylethanolamine, 2,3-Dihydrofuran, 5-Hexen-2-one, Perfluorobutanoic Acid, and 2-Phenylpropionaldehyde.  J. Chem. Eng. Data 47: 715-724.</t>
  </si>
  <si>
    <r>
      <t xml:space="preserve">Steele, W.V., R. D. Chirico, S. E. Knipmeyer, and A. Nguyen.  2002. "Vapor Pressure, Heat Capacity, and Density along the Saturation Line: Measurements for Benzenamine, Butylbenzene, sec-Butylbenzene, tert-Butylbenzene, 2,2-Dimethylbutanoic Acid, Tridecafluoroheptanoic Acid, 2-Butyl-2-ethyl-1,3-propanediol, 2,2,4-Trimethyl-1,3-pentanediol, and 1-Chloro-2-propanol" </t>
    </r>
    <r>
      <rPr>
        <i/>
        <sz val="11"/>
        <color theme="1"/>
        <rFont val="Calibri"/>
        <family val="2"/>
        <scheme val="minor"/>
      </rPr>
      <t>Journal of Chemical Engineering Data.</t>
    </r>
    <r>
      <rPr>
        <sz val="11"/>
        <color theme="1"/>
        <rFont val="Calibri"/>
        <family val="2"/>
        <scheme val="minor"/>
      </rPr>
      <t xml:space="preserve">  47(4): 648-666.  doi: https://doi.org/10.1021/je010083e</t>
    </r>
  </si>
  <si>
    <t>Steinle-Darling, Eva, and Martin Reinhard. 2008. "Nanofiltration for Trace Organic Contaminant Removal: Structure, Solution, and Membrane Fouling Effects on the Rejection of Perfluorochemicals."  Environmental Science &amp; Technology 42 (14): 5292-5297. doi: http://dx.doi.org/10.1021/es703207s.</t>
  </si>
  <si>
    <t>Stock, Naomi L., David A. Ellis, Lisa Deleebeeck, Derek C. G. Muir, and Scott A. Mabury. 2004. "Vapor Pressures of the Fluorinated Telomer Alcohols - Limitations of Estimation Methods." Environmental Science &amp; Technology 38 (6): 1693-1699. doi: http://dx.doi.org/10.1021/es034773+.</t>
  </si>
  <si>
    <t>Sun, M., Cui, J., Guo, J., Zhai, Z., Zuo, P., &amp; Zhang, J. (2020). Fluorochemicals biodegradation as a potential source of trifluoroacetic acid (TFA) to the environment. Chemosphere, 254, 126894. https://doi.org/10.1016/j.chemosphere.2020.126894</t>
  </si>
  <si>
    <t>Assessed the terminal transformation of 6:2 FTOH to 5:3 polyfluorinated acid (5:3 FTCA; 12.5 mol%), perfluorohexanoic acid (PFHxA; 2.0 mol%), perfluoropentanoic acid (PFPeA; 1.6 mol%), perfluorobutyric acid (PFBA; 1.7 mol%), and TFA (2.3 mol%) by day 32 in a mixed landfill soil culture (aerobic).</t>
  </si>
  <si>
    <t>UNEP. 2012. "Technical Paper on the Identification and Assessment of Alternatives to the Use of Perfluorooctane Sulfonic Acid, Its Salts, Perfluorooctane Sulfonyl Fluoride and Their Related Chemicals in Open Applications." Appendix 1. Stockholm Convention on Persistent Organic Pollutants. http://chm.pops.int/Portals/0/download.aspx?d=UNEP-POPS-POPRC.8-INF-17-Rev.1-Appendix.1.English.xlsx.</t>
  </si>
  <si>
    <t>Modelled/predicted values, not empirical. Values provided in accompanying excel files to report. Values calculated using EPI SUITE v 2.0. Values for the sodium salt of 9Cl-PF3ONS were not included.</t>
  </si>
  <si>
    <t>Viada, Banjamin Nahuel, Ana Valeria Juarez, Erica Marcela Pachon Gomez, Mariana Adela Fernandez, and Lidia Mabel Yudi. 2018. Determination of the critical micellar concentration of perfluorinated surfactants by cyclic voltammetry at liquid/liquid interfaces. Electrochimica Acta 263: 499-507.</t>
  </si>
  <si>
    <t>Vierke, Lena, Urs Berger, and Ian T. Cousins. 2013. "Estimation of the Acid Dissociation Constant of Perfluoroalkyl Carboxylic Acids through an Experimental Investigation of their Water-to-Air Transport."  Environmental Science &amp; Technology 47 (19): 11032-11039.doi: http://dx.doi.org/10.1021/es402691z.</t>
  </si>
  <si>
    <r>
      <rPr>
        <sz val="11"/>
        <color rgb="FF000000"/>
        <rFont val="Calibri"/>
        <family val="2"/>
        <scheme val="minor"/>
      </rPr>
      <t xml:space="preserve">Wang, N, B. Szostek, R.C. Buck, P.W. Folsom, L.M. Sulecki, and J.T. Gannon. 2009. 8-2 Fluorotelomer alcohol aerobic soil biodegradation: Pathways, metabolites, and metabolite yields. </t>
    </r>
    <r>
      <rPr>
        <i/>
        <sz val="11"/>
        <color rgb="FF000000"/>
        <rFont val="Calibri"/>
        <family val="2"/>
        <scheme val="minor"/>
      </rPr>
      <t>Chemosphere</t>
    </r>
    <r>
      <rPr>
        <sz val="11"/>
        <color rgb="FF000000"/>
        <rFont val="Calibri"/>
        <family val="2"/>
        <scheme val="minor"/>
      </rPr>
      <t xml:space="preserve"> 75: 1089-1096.</t>
    </r>
  </si>
  <si>
    <t>Wang, Zhanyun, Matthew MacLeod, Ian Cousins, Martin Scheringer, and Konrad Hungerbuhler. 2011. "Using COSMOtherm to Predict Physicochemical Properties of Poly- and Perfluorinated Alkyl Substances (PFAS)." Environmental Chemistry 8 (4): 389-398. doi: http://dx.doi.org/10.1071/EN10143.</t>
  </si>
  <si>
    <t>Wang, Y., N. Khan, D. Huang, K.C. Carroll, and M.L. Brusseau. 2020. Transport of PFOS in Aquifer Sediment: Transport Behavior and a Distributed-Sorption Model. Science of the Total Environment 779: 146444.</t>
  </si>
  <si>
    <t>Washington et al., 2009</t>
  </si>
  <si>
    <t>Washington, John, J. Ellington, Thomas Jenkins, John Evans, Hoon Yoo, and Sarah Hafner. 2009. Degradability of an Acrylate-Linked, Fluorotelomer Polymer in Soil. Environmental Science &amp; Technology 43: 6617-6623. doi: 10.1021/es9002668</t>
  </si>
  <si>
    <t>Weber, A.K, L.B. Barber, D.R. LeBlanc, E.M. Sunderland, and C.D. Vecitis. Geochemical and Hydrologic Factors Controlling Subsurface Transport of Poly- and Perfluoroalkyl Substances, Cape Cod, Massachusetts. Environmental Science &amp; Technology 51: 4269-4279. doi: http://dx.doi.org/10.1021/acs.est.6b05573</t>
  </si>
  <si>
    <r>
      <t xml:space="preserve">Weidemann, Eva, René Lämmer, Bernd Göckener, Mark Bücking, and Matthias Gassmann. 2024. Transformation, leaching and plant uptake
simulations of 6:2 and 8:2 polyfluoroalkyl phosphate diesters (diPAPs) and related transformation products under near‑natural conditions. </t>
    </r>
    <r>
      <rPr>
        <i/>
        <sz val="11"/>
        <color theme="1"/>
        <rFont val="Calibri"/>
        <family val="2"/>
        <scheme val="minor"/>
      </rPr>
      <t>Environmental Sciences Europe 36</t>
    </r>
    <r>
      <rPr>
        <sz val="11"/>
        <color theme="1"/>
        <rFont val="Calibri"/>
        <family val="2"/>
        <scheme val="minor"/>
      </rPr>
      <t>:63. https://doi.org/10.1186/s12302-024-00883-z</t>
    </r>
  </si>
  <si>
    <t>Weiner, B., Yeung, L.W.Y., Marchington, E.B., D’Agostino, L.A., Mabury, S.A., 2013. Organic fluorine content in aqueous film forming foams (AFFFs) and biodegradation of the foam component 6:2 fluorotelomermercaptoalkylamido sulfonate (6:2 FTSAS). Environ. Chem. 10 (6), 486–493. https://doi.org/10.1071/EN13128.</t>
  </si>
  <si>
    <r>
      <t>Wu, Yaoxing, and Victor W.-C. Chang. 2011. "The effect of surface adsorption and molecular geometry on the determination of Henry's Law constants for fluorotelomer alcohols."</t>
    </r>
    <r>
      <rPr>
        <i/>
        <sz val="11"/>
        <color theme="1"/>
        <rFont val="Calibri"/>
        <family val="2"/>
        <scheme val="minor"/>
      </rPr>
      <t xml:space="preserve"> Journal of Chemical &amp; Engineering Data</t>
    </r>
    <r>
      <rPr>
        <sz val="11"/>
        <color theme="1"/>
        <rFont val="Calibri"/>
        <family val="2"/>
        <scheme val="minor"/>
      </rPr>
      <t xml:space="preserve"> 56: 3442-3448.  doi: http://dx.doi.org/10.1021/je200466w.</t>
    </r>
  </si>
  <si>
    <r>
      <t xml:space="preserve">Xiang, Lei, Tao Xiao, Peng-Fei Yu, Hai-Ming Zhao, Ce-Hui Mo, Yan-Wen Li, Hui Li, Quan-Ying Cai, Dong-Mei Zhou, and Ming-Hung Won. 2018. Mechanism and Implication of the Sorption of Perfluorooctanoic Acid by Varying Soil Size Fractions. </t>
    </r>
    <r>
      <rPr>
        <i/>
        <sz val="11"/>
        <rFont val="Calibri"/>
        <family val="2"/>
        <scheme val="minor"/>
      </rPr>
      <t>Agricultural and Food Chemistry</t>
    </r>
    <r>
      <rPr>
        <sz val="11"/>
        <rFont val="Calibri"/>
        <family val="2"/>
        <scheme val="minor"/>
      </rPr>
      <t xml:space="preserve"> 66: 11569-11579. doi: http://dx.doi.org/10.1021/acs.jafc.8b03492.</t>
    </r>
  </si>
  <si>
    <t xml:space="preserve">Sorption was dependent on CEC, foc, pore size and Brunauer-Emmett-Teller (BET) specific surface area. The presence of OM was the dominant controlling factor. </t>
  </si>
  <si>
    <t>Xiao, Feng. 2017. "Emerging Poly- and Perfluoroalkyl Substances in the Aquatic Environment: A Review of Current Literature." Water Research 124: 482-495. doi: http://dx.doi.org/10.1016/j.watres.2017.07.024.</t>
  </si>
  <si>
    <t>Values predicted using EPISuite 4.1.</t>
  </si>
  <si>
    <t>Xie, Zhiyong, Zhen Zhao, Axel Möller, Hendrik Wolschke, Lutz Ahrens, Renate Sturm, and Ralf Ebinghaus. 2013 “Neutral poly- and perfluoroalkyl substances in air and seawater of the North Sea.” Environ Sci Pollut Res Int 20 (11):7988-8000. doi: http://dx.doi.org/10.1007/s11356-013-1757-z.</t>
  </si>
  <si>
    <t>Yan, Peng-Fei, Sheng Dong, Katherine E. Manz, Chen Liu, Matthew J. Woodcock, Melissa P. Mezzari, Linda M. Abriola, Kurt D. Pennell, and Natalie L. Cápiro. 2022. Biotransformation of 8:2 Fluorotelomer Alcohol in Soil from Aqueous Film-Forming Foams (AFFFs)-Impacted Sites under Nitrate‑, Sulfate‑, and Iron-Reducing Conditions. Environ. Sci. Technol. 56: 13728−13739.</t>
  </si>
  <si>
    <t>Reported results for nitrate-reducing conditions. Also performed replicats for sulfate- and iron-reduicing conditions, but did not report half-lives.</t>
  </si>
  <si>
    <t>Yan, P.-F., Dong, S., Manz, K. E., Woodcock, M. J., Liu, C., Mezzari, M. P., Abriola, L. M., Pennell, K. D., &amp; Cápiro, N. L. (2024). Aerobic biotransformation of 6:2 fluorotelomer sulfonate in soils from two aqueous film-forming foam (AFFF)-impacted sites. Water Research 249: 120941. https://doi.org/10.1016/j.watres.2023.120941</t>
  </si>
  <si>
    <t>Yan, N. Yifan Ji, Bohan Zhang, Xilai Zheng, and Mark L. Brusseau. Transport of GenX in saturated and unsaturated porous media.  Environmental Science &amp; Technology 54: 11876-11885.doi: https://dx.doi.org/10.1021/acs.est.9b07790</t>
  </si>
  <si>
    <t>Yu, Qiang, Ruiqi Zhang, Shubo Deng, Jun Huang, and Gang Yu. 2009. "Sorption of Perfluorooctane Sulfonate and Perfluorooctanoate on Activated Carbons and Resin: Kinetic and Isotherm Study."  Water Research 43 (4): 1150-1158. doi: http://dx.doi.org/10.1016/j.watres.2008.12.001.</t>
  </si>
  <si>
    <t xml:space="preserve">Yu, Xiaolong, Yugo Takabe, Katsuya Yamamoto, Chisato Matsumura, Fumitake Nishimura. 2016. Biodegradation Property of 8:2 Fluorotelomer Alcohol (8:2 FTOH) under Aerobic/Anoxic/Anaerobic Conditions. Journal of Water and Environment Technology 14(3): 177-190. </t>
  </si>
  <si>
    <t xml:space="preserve">Daughter products/degradation pathway not given in paper. </t>
  </si>
  <si>
    <t>Zabaleta, Itsaso., Ekhine Bizkarguenaga, Deborah B. O. Nunoo, Lara Schultes, Juliana Leonel, Ailette Prieto, Olatz Zuloaga, and Jonathan P. Benskin. 2018. Biodegradation and Uptake of the Pesticide Sulfluramid in a Soil−Carrot Mesocosm. Environmental Science &amp; Technology 52: 2603-2611</t>
  </si>
  <si>
    <t>Separated biotransformation rates into results for linear and branched isomers. Values reported are of linear isomers.</t>
  </si>
  <si>
    <r>
      <t>Zhang, Xianming, Trevor N. Brown, Frank Wania, Eldbjørg S. Heimstad, and Kai-Uwe Goss. 2010. "Assessment of chemical screening outcomes based on different partitioning property estimation methods."</t>
    </r>
    <r>
      <rPr>
        <i/>
        <sz val="11"/>
        <color theme="1"/>
        <rFont val="Calibri"/>
        <family val="2"/>
        <scheme val="minor"/>
      </rPr>
      <t xml:space="preserve"> Environment International</t>
    </r>
    <r>
      <rPr>
        <sz val="11"/>
        <color theme="1"/>
        <rFont val="Calibri"/>
        <family val="2"/>
        <scheme val="minor"/>
      </rPr>
      <t xml:space="preserve"> 36: 514-520. http://dx.doi.org/10.1016/j.envint.2010.03.010</t>
    </r>
  </si>
  <si>
    <t>Zhang, Yuan, Wei Meng, Changsheng Guo Jian Xu, Tao Yu, Wenhong Fan, and Lei Li. 2012. "Determination and partitioning behavior of perfluoroalkyl carboxylic acids and perfluorooctanesulfonate in water and sediment from Dianchi Lake, China." Chemosphere 88: 1292-1299. doi: http://dx.doi.org/10.1016/j.chemosphere.2012.03.103.</t>
  </si>
  <si>
    <t>Calculated partition coefficients using paired surface sediment and water samples from 26 sites in Dianchi Lake in China. The number of detections ranged from 26 for PFOA to 3 for PFBA and PFPeA.</t>
  </si>
  <si>
    <t>Zhang, Shu, Bogdan Szostek, Patricia K. McCausland, Barry W. Wolstenholme, Xiaoxia Lu, Ning Wang, and Robert C. Buck. 2013. "6:2 and 8:2 Fluorotelomer Alcohol Anaerobic Biotransformation in Digester Sludge from a WWTP under Methanogenic Conditions." Environmental Science &amp; Technology 47: 4227-4235.</t>
  </si>
  <si>
    <t>Average of two studies</t>
  </si>
  <si>
    <t>Zhang, Shu, Xiaoxia Lu, Ning Wang, and Robert C. Buck. 2016. "Biotransformation potential of 6:2 fluorotelomer sulfonate (6:2 FTSA)
in aerobic and anaerobic sediment." Chemosphere 154: 224-230. http://dx.doi.org/10.1016/j.chemosphere.2016.03.062</t>
  </si>
  <si>
    <t>Zhang, Shu, Nancy Merino, Ning Wang, Ting Ruan, and Xiaoxia Lu. 2017. "Impact of 6:2 fluorotelomer alcohol aerobic biotransformation on a
sediment microbial community." Science of the Total Environment 575: 1361-1368. http://dx.doi.org/10.1016/j.scitotenv.2016.09.214</t>
  </si>
  <si>
    <t>Mol % of accumulated products sums to &gt; 100%</t>
  </si>
  <si>
    <t>Zhang, L., Lee, L. S., Niu, J., &amp; Liu, J. (2017). "Kinetic analysis of aerobic biotransformation pathways of a perfluorooctane sulfonate (PFOS) precursor in distinctly different soils." Environmental Pollution, 229, 159-167. https://doi.org/10.1016/j.envpol.2017.05.074</t>
  </si>
  <si>
    <t>Mean of different replicates in different soil types</t>
  </si>
  <si>
    <t>Zhang, Shiyi, Hui Peng, Di Mu, Haoqi Zhao, and Jianying Hu. 2018. "Simultaneous determination of (N-ethyl perfluorooctanesulfonamido
ethanol)-based phosphate diester and triester and their
biotransformation to perfluorooctanesulfonate in freshwater
sediments." Environmental Pollution 234: 821-829. https://doi.org/10.1016/j.envpol.2017.12.021</t>
  </si>
  <si>
    <t>Zhang, M., Yamada, K., Bourguet, S., Guelfo, J., Suuberg, E.M., 2020. “Vapor Pressure of Nine Perfluoroalkyl Substances (PFASs) Determined Using the Knudsen Effusion Method”, Jl. Chem. Eng. Data 65: 2332-2342.</t>
  </si>
  <si>
    <r>
      <t xml:space="preserve">Zhao, Lixia, Lingyan Zhu, Liping Yang, Zhengtao Liu, and Yahui Zhang. 2012. "Distribution and desorption of perfluorinated compounds in fractionated sediments." </t>
    </r>
    <r>
      <rPr>
        <i/>
        <sz val="11"/>
        <rFont val="Calibri"/>
        <family val="2"/>
        <scheme val="minor"/>
      </rPr>
      <t>Chemosphere</t>
    </r>
    <r>
      <rPr>
        <sz val="11"/>
        <rFont val="Calibri"/>
        <family val="2"/>
        <scheme val="minor"/>
      </rPr>
      <t xml:space="preserve"> 88: 1390-1397. doi: http://dx.doi.org/10.1016/j.chemosphere.2012.05.062.</t>
    </r>
  </si>
  <si>
    <t xml:space="preserve">Used natural sediment divided by size fraction and density. Sorbed concentrations were greater in the lighter fractions across all size fractions. </t>
  </si>
  <si>
    <r>
      <rPr>
        <sz val="11"/>
        <color rgb="FF000000"/>
        <rFont val="Calibri"/>
        <family val="2"/>
        <scheme val="minor"/>
      </rPr>
      <t xml:space="preserve">Zhao, Lijie, Patrick Folsom, Barry Wolstenholme, Hongwen Sun, Ning Wang, and Robert Buck. 2013. "6:2 Fluorotelomer alcohol biotransformation in an aerobic river sediment system." </t>
    </r>
    <r>
      <rPr>
        <i/>
        <sz val="11"/>
        <color rgb="FF000000"/>
        <rFont val="Calibri"/>
        <family val="2"/>
        <scheme val="minor"/>
      </rPr>
      <t>Chemosphere</t>
    </r>
    <r>
      <rPr>
        <sz val="11"/>
        <color rgb="FF000000"/>
        <rFont val="Calibri"/>
        <family val="2"/>
        <scheme val="minor"/>
      </rPr>
      <t xml:space="preserve"> 90: 203-209. http://dx.doi.org/10.1016/j.chemosphere.2012.06.035</t>
    </r>
  </si>
  <si>
    <t>Constant</t>
  </si>
  <si>
    <t>Units</t>
  </si>
  <si>
    <t>Value</t>
  </si>
  <si>
    <t>R</t>
  </si>
  <si>
    <t>L-atm/K-mol</t>
  </si>
  <si>
    <t>L-Pa/K-mol</t>
  </si>
  <si>
    <r>
      <t>CF</t>
    </r>
    <r>
      <rPr>
        <vertAlign val="subscript"/>
        <sz val="11"/>
        <rFont val="Calibri"/>
        <family val="2"/>
        <scheme val="minor"/>
      </rPr>
      <t>3</t>
    </r>
    <r>
      <rPr>
        <sz val="11"/>
        <rFont val="Calibri"/>
        <family val="2"/>
        <scheme val="minor"/>
      </rPr>
      <t>COOH</t>
    </r>
  </si>
  <si>
    <r>
      <t>C</t>
    </r>
    <r>
      <rPr>
        <vertAlign val="subscript"/>
        <sz val="11"/>
        <rFont val="Calibri"/>
        <family val="2"/>
        <scheme val="minor"/>
      </rPr>
      <t>2</t>
    </r>
    <r>
      <rPr>
        <sz val="11"/>
        <rFont val="Calibri"/>
        <family val="2"/>
        <scheme val="minor"/>
      </rPr>
      <t>F</t>
    </r>
    <r>
      <rPr>
        <vertAlign val="subscript"/>
        <sz val="11"/>
        <rFont val="Calibri"/>
        <family val="2"/>
        <scheme val="minor"/>
      </rPr>
      <t>5</t>
    </r>
    <r>
      <rPr>
        <sz val="11"/>
        <rFont val="Calibri"/>
        <family val="2"/>
        <scheme val="minor"/>
      </rPr>
      <t>COOH</t>
    </r>
  </si>
  <si>
    <r>
      <t>C</t>
    </r>
    <r>
      <rPr>
        <vertAlign val="subscript"/>
        <sz val="11"/>
        <rFont val="Calibri"/>
        <family val="2"/>
        <scheme val="minor"/>
      </rPr>
      <t>3</t>
    </r>
    <r>
      <rPr>
        <sz val="11"/>
        <rFont val="Calibri"/>
        <family val="2"/>
        <scheme val="minor"/>
      </rPr>
      <t>F</t>
    </r>
    <r>
      <rPr>
        <vertAlign val="subscript"/>
        <sz val="11"/>
        <rFont val="Calibri"/>
        <family val="2"/>
        <scheme val="minor"/>
      </rPr>
      <t>7</t>
    </r>
    <r>
      <rPr>
        <sz val="11"/>
        <rFont val="Calibri"/>
        <family val="2"/>
        <scheme val="minor"/>
      </rPr>
      <t>COOH</t>
    </r>
  </si>
  <si>
    <r>
      <t>C</t>
    </r>
    <r>
      <rPr>
        <vertAlign val="subscript"/>
        <sz val="11"/>
        <rFont val="Calibri"/>
        <family val="2"/>
        <scheme val="minor"/>
      </rPr>
      <t>4</t>
    </r>
    <r>
      <rPr>
        <sz val="11"/>
        <rFont val="Calibri"/>
        <family val="2"/>
        <scheme val="minor"/>
      </rPr>
      <t>F</t>
    </r>
    <r>
      <rPr>
        <vertAlign val="subscript"/>
        <sz val="11"/>
        <rFont val="Calibri"/>
        <family val="2"/>
        <scheme val="minor"/>
      </rPr>
      <t>9</t>
    </r>
    <r>
      <rPr>
        <sz val="11"/>
        <rFont val="Calibri"/>
        <family val="2"/>
        <scheme val="minor"/>
      </rPr>
      <t>COOH</t>
    </r>
  </si>
  <si>
    <r>
      <t>C</t>
    </r>
    <r>
      <rPr>
        <vertAlign val="subscript"/>
        <sz val="11"/>
        <rFont val="Calibri"/>
        <family val="2"/>
        <scheme val="minor"/>
      </rPr>
      <t>5</t>
    </r>
    <r>
      <rPr>
        <sz val="11"/>
        <rFont val="Calibri"/>
        <family val="2"/>
        <scheme val="minor"/>
      </rPr>
      <t>F</t>
    </r>
    <r>
      <rPr>
        <vertAlign val="subscript"/>
        <sz val="11"/>
        <rFont val="Calibri"/>
        <family val="2"/>
        <scheme val="minor"/>
      </rPr>
      <t>11</t>
    </r>
    <r>
      <rPr>
        <sz val="11"/>
        <rFont val="Calibri"/>
        <family val="2"/>
        <scheme val="minor"/>
      </rPr>
      <t>COOH</t>
    </r>
  </si>
  <si>
    <r>
      <t>C</t>
    </r>
    <r>
      <rPr>
        <vertAlign val="subscript"/>
        <sz val="11"/>
        <rFont val="Calibri"/>
        <family val="2"/>
        <scheme val="minor"/>
      </rPr>
      <t>6</t>
    </r>
    <r>
      <rPr>
        <sz val="11"/>
        <rFont val="Calibri"/>
        <family val="2"/>
        <scheme val="minor"/>
      </rPr>
      <t>F</t>
    </r>
    <r>
      <rPr>
        <vertAlign val="subscript"/>
        <sz val="11"/>
        <rFont val="Calibri"/>
        <family val="2"/>
        <scheme val="minor"/>
      </rPr>
      <t>13</t>
    </r>
    <r>
      <rPr>
        <sz val="11"/>
        <rFont val="Calibri"/>
        <family val="2"/>
        <scheme val="minor"/>
      </rPr>
      <t>COOH</t>
    </r>
  </si>
  <si>
    <r>
      <t>C</t>
    </r>
    <r>
      <rPr>
        <vertAlign val="subscript"/>
        <sz val="11"/>
        <rFont val="Calibri"/>
        <family val="2"/>
        <scheme val="minor"/>
      </rPr>
      <t>7</t>
    </r>
    <r>
      <rPr>
        <sz val="11"/>
        <rFont val="Calibri"/>
        <family val="2"/>
        <scheme val="minor"/>
      </rPr>
      <t>F</t>
    </r>
    <r>
      <rPr>
        <vertAlign val="subscript"/>
        <sz val="11"/>
        <rFont val="Calibri"/>
        <family val="2"/>
        <scheme val="minor"/>
      </rPr>
      <t>15</t>
    </r>
    <r>
      <rPr>
        <sz val="11"/>
        <rFont val="Calibri"/>
        <family val="2"/>
        <scheme val="minor"/>
      </rPr>
      <t>COOH</t>
    </r>
  </si>
  <si>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COOH</t>
    </r>
  </si>
  <si>
    <r>
      <t>C</t>
    </r>
    <r>
      <rPr>
        <vertAlign val="subscript"/>
        <sz val="11"/>
        <rFont val="Calibri"/>
        <family val="2"/>
        <scheme val="minor"/>
      </rPr>
      <t>9</t>
    </r>
    <r>
      <rPr>
        <sz val="11"/>
        <rFont val="Calibri"/>
        <family val="2"/>
        <scheme val="minor"/>
      </rPr>
      <t>F</t>
    </r>
    <r>
      <rPr>
        <vertAlign val="subscript"/>
        <sz val="11"/>
        <rFont val="Calibri"/>
        <family val="2"/>
        <scheme val="minor"/>
      </rPr>
      <t>19</t>
    </r>
    <r>
      <rPr>
        <sz val="11"/>
        <rFont val="Calibri"/>
        <family val="2"/>
        <scheme val="minor"/>
      </rPr>
      <t>COOH</t>
    </r>
  </si>
  <si>
    <r>
      <t>C</t>
    </r>
    <r>
      <rPr>
        <vertAlign val="subscript"/>
        <sz val="11"/>
        <rFont val="Calibri"/>
        <family val="2"/>
        <scheme val="minor"/>
      </rPr>
      <t>10</t>
    </r>
    <r>
      <rPr>
        <sz val="11"/>
        <rFont val="Calibri"/>
        <family val="2"/>
        <scheme val="minor"/>
      </rPr>
      <t>F</t>
    </r>
    <r>
      <rPr>
        <vertAlign val="subscript"/>
        <sz val="11"/>
        <rFont val="Calibri"/>
        <family val="2"/>
        <scheme val="minor"/>
      </rPr>
      <t>21</t>
    </r>
    <r>
      <rPr>
        <sz val="11"/>
        <rFont val="Calibri"/>
        <family val="2"/>
        <scheme val="minor"/>
      </rPr>
      <t>COOH</t>
    </r>
  </si>
  <si>
    <r>
      <t>C</t>
    </r>
    <r>
      <rPr>
        <vertAlign val="subscript"/>
        <sz val="11"/>
        <rFont val="Calibri"/>
        <family val="2"/>
        <scheme val="minor"/>
      </rPr>
      <t>11</t>
    </r>
    <r>
      <rPr>
        <sz val="11"/>
        <rFont val="Calibri"/>
        <family val="2"/>
        <scheme val="minor"/>
      </rPr>
      <t>F</t>
    </r>
    <r>
      <rPr>
        <vertAlign val="subscript"/>
        <sz val="11"/>
        <rFont val="Calibri"/>
        <family val="2"/>
        <scheme val="minor"/>
      </rPr>
      <t>23</t>
    </r>
    <r>
      <rPr>
        <sz val="11"/>
        <rFont val="Calibri"/>
        <family val="2"/>
        <scheme val="minor"/>
      </rPr>
      <t>COOH</t>
    </r>
  </si>
  <si>
    <r>
      <t>C</t>
    </r>
    <r>
      <rPr>
        <vertAlign val="subscript"/>
        <sz val="11"/>
        <rFont val="Calibri"/>
        <family val="2"/>
        <scheme val="minor"/>
      </rPr>
      <t>12</t>
    </r>
    <r>
      <rPr>
        <sz val="11"/>
        <rFont val="Calibri"/>
        <family val="2"/>
        <scheme val="minor"/>
      </rPr>
      <t>F</t>
    </r>
    <r>
      <rPr>
        <vertAlign val="subscript"/>
        <sz val="11"/>
        <rFont val="Calibri"/>
        <family val="2"/>
        <scheme val="minor"/>
      </rPr>
      <t>25</t>
    </r>
    <r>
      <rPr>
        <sz val="11"/>
        <rFont val="Calibri"/>
        <family val="2"/>
        <scheme val="minor"/>
      </rPr>
      <t>COOH</t>
    </r>
  </si>
  <si>
    <r>
      <t>C</t>
    </r>
    <r>
      <rPr>
        <vertAlign val="subscript"/>
        <sz val="11"/>
        <rFont val="Calibri"/>
        <family val="2"/>
        <scheme val="minor"/>
      </rPr>
      <t>13</t>
    </r>
    <r>
      <rPr>
        <sz val="11"/>
        <rFont val="Calibri"/>
        <family val="2"/>
        <scheme val="minor"/>
      </rPr>
      <t>F</t>
    </r>
    <r>
      <rPr>
        <vertAlign val="subscript"/>
        <sz val="11"/>
        <rFont val="Calibri"/>
        <family val="2"/>
        <scheme val="minor"/>
      </rPr>
      <t>27</t>
    </r>
    <r>
      <rPr>
        <sz val="11"/>
        <rFont val="Calibri"/>
        <family val="2"/>
        <scheme val="minor"/>
      </rPr>
      <t>COOH</t>
    </r>
  </si>
  <si>
    <r>
      <t>CF</t>
    </r>
    <r>
      <rPr>
        <vertAlign val="subscript"/>
        <sz val="11"/>
        <rFont val="Calibri"/>
        <family val="2"/>
        <scheme val="minor"/>
      </rPr>
      <t>3</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</si>
  <si>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2</t>
    </r>
    <r>
      <rPr>
        <sz val="11"/>
        <rFont val="Calibri"/>
        <family val="2"/>
        <scheme val="minor"/>
      </rPr>
      <t>F</t>
    </r>
    <r>
      <rPr>
        <vertAlign val="subscript"/>
        <sz val="11"/>
        <rFont val="Calibri"/>
        <family val="2"/>
        <scheme val="minor"/>
      </rPr>
      <t>5</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</si>
  <si>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3</t>
    </r>
    <r>
      <rPr>
        <sz val="11"/>
        <rFont val="Calibri"/>
        <family val="2"/>
        <scheme val="minor"/>
      </rPr>
      <t>F</t>
    </r>
    <r>
      <rPr>
        <vertAlign val="subscript"/>
        <sz val="11"/>
        <rFont val="Calibri"/>
        <family val="2"/>
        <scheme val="minor"/>
      </rPr>
      <t>7</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</si>
  <si>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4</t>
    </r>
    <r>
      <rPr>
        <sz val="11"/>
        <rFont val="Calibri"/>
        <family val="2"/>
        <scheme val="minor"/>
      </rPr>
      <t>F</t>
    </r>
    <r>
      <rPr>
        <vertAlign val="subscript"/>
        <sz val="11"/>
        <rFont val="Calibri"/>
        <family val="2"/>
        <scheme val="minor"/>
      </rPr>
      <t>9</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</si>
  <si>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5</t>
    </r>
    <r>
      <rPr>
        <sz val="11"/>
        <rFont val="Calibri"/>
        <family val="2"/>
        <scheme val="minor"/>
      </rPr>
      <t>F</t>
    </r>
    <r>
      <rPr>
        <vertAlign val="subscript"/>
        <sz val="11"/>
        <rFont val="Calibri"/>
        <family val="2"/>
        <scheme val="minor"/>
      </rPr>
      <t>11</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</si>
  <si>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6</t>
    </r>
    <r>
      <rPr>
        <sz val="11"/>
        <rFont val="Calibri"/>
        <family val="2"/>
        <scheme val="minor"/>
      </rPr>
      <t>F</t>
    </r>
    <r>
      <rPr>
        <vertAlign val="subscript"/>
        <sz val="11"/>
        <rFont val="Calibri"/>
        <family val="2"/>
        <scheme val="minor"/>
      </rPr>
      <t>13</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</si>
  <si>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7</t>
    </r>
    <r>
      <rPr>
        <sz val="11"/>
        <rFont val="Calibri"/>
        <family val="2"/>
        <scheme val="minor"/>
      </rPr>
      <t>F</t>
    </r>
    <r>
      <rPr>
        <vertAlign val="subscript"/>
        <sz val="11"/>
        <rFont val="Calibri"/>
        <family val="2"/>
        <scheme val="minor"/>
      </rPr>
      <t>15</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</si>
  <si>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</si>
  <si>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9</t>
    </r>
    <r>
      <rPr>
        <sz val="11"/>
        <rFont val="Calibri"/>
        <family val="2"/>
        <scheme val="minor"/>
      </rPr>
      <t>F</t>
    </r>
    <r>
      <rPr>
        <vertAlign val="subscript"/>
        <sz val="11"/>
        <rFont val="Calibri"/>
        <family val="2"/>
        <scheme val="minor"/>
      </rPr>
      <t>19</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</si>
  <si>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10</t>
    </r>
    <r>
      <rPr>
        <sz val="11"/>
        <rFont val="Calibri"/>
        <family val="2"/>
        <scheme val="minor"/>
      </rPr>
      <t>F</t>
    </r>
    <r>
      <rPr>
        <vertAlign val="subscript"/>
        <sz val="11"/>
        <rFont val="Calibri"/>
        <family val="2"/>
        <scheme val="minor"/>
      </rPr>
      <t>21</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</si>
  <si>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12</t>
    </r>
    <r>
      <rPr>
        <sz val="11"/>
        <rFont val="Calibri"/>
        <family val="2"/>
        <scheme val="minor"/>
      </rPr>
      <t>F</t>
    </r>
    <r>
      <rPr>
        <vertAlign val="subscript"/>
        <sz val="11"/>
        <rFont val="Calibri"/>
        <family val="2"/>
        <scheme val="minor"/>
      </rPr>
      <t>23</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</si>
  <si>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2</t>
    </r>
    <r>
      <rPr>
        <sz val="11"/>
        <rFont val="Calibri"/>
        <family val="2"/>
        <scheme val="minor"/>
      </rPr>
      <t>F</t>
    </r>
    <r>
      <rPr>
        <vertAlign val="subscript"/>
        <sz val="11"/>
        <rFont val="Calibri"/>
        <family val="2"/>
        <scheme val="minor"/>
      </rPr>
      <t>5</t>
    </r>
    <r>
      <rPr>
        <sz val="11"/>
        <rFont val="Calibri"/>
        <family val="2"/>
        <scheme val="minor"/>
      </rPr>
      <t>CH</t>
    </r>
    <r>
      <rPr>
        <vertAlign val="subscript"/>
        <sz val="11"/>
        <rFont val="Calibri"/>
        <family val="2"/>
        <scheme val="minor"/>
      </rPr>
      <t>2</t>
    </r>
    <r>
      <rPr>
        <sz val="11"/>
        <rFont val="Calibri"/>
        <family val="2"/>
        <scheme val="minor"/>
      </rPr>
      <t>COOH</t>
    </r>
  </si>
  <si>
    <r>
      <t>C</t>
    </r>
    <r>
      <rPr>
        <vertAlign val="subscript"/>
        <sz val="11"/>
        <rFont val="Calibri"/>
        <family val="2"/>
        <scheme val="minor"/>
      </rPr>
      <t>3</t>
    </r>
    <r>
      <rPr>
        <sz val="11"/>
        <rFont val="Calibri"/>
        <family val="2"/>
        <scheme val="minor"/>
      </rPr>
      <t>F</t>
    </r>
    <r>
      <rPr>
        <vertAlign val="subscript"/>
        <sz val="11"/>
        <rFont val="Calibri"/>
        <family val="2"/>
        <scheme val="minor"/>
      </rPr>
      <t>7</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COOH</t>
    </r>
  </si>
  <si>
    <r>
      <t>C</t>
    </r>
    <r>
      <rPr>
        <vertAlign val="subscript"/>
        <sz val="11"/>
        <rFont val="Calibri"/>
        <family val="2"/>
        <scheme val="minor"/>
      </rPr>
      <t>4</t>
    </r>
    <r>
      <rPr>
        <sz val="11"/>
        <rFont val="Calibri"/>
        <family val="2"/>
        <scheme val="minor"/>
      </rPr>
      <t>F</t>
    </r>
    <r>
      <rPr>
        <vertAlign val="subscript"/>
        <sz val="11"/>
        <rFont val="Calibri"/>
        <family val="2"/>
        <scheme val="minor"/>
      </rPr>
      <t>9</t>
    </r>
    <r>
      <rPr>
        <sz val="11"/>
        <rFont val="Calibri"/>
        <family val="2"/>
        <scheme val="minor"/>
      </rPr>
      <t>CH</t>
    </r>
    <r>
      <rPr>
        <vertAlign val="subscript"/>
        <sz val="11"/>
        <rFont val="Calibri"/>
        <family val="2"/>
        <scheme val="minor"/>
      </rPr>
      <t>2</t>
    </r>
    <r>
      <rPr>
        <sz val="11"/>
        <rFont val="Calibri"/>
        <family val="2"/>
        <scheme val="minor"/>
      </rPr>
      <t>COOH</t>
    </r>
  </si>
  <si>
    <r>
      <t>C</t>
    </r>
    <r>
      <rPr>
        <vertAlign val="subscript"/>
        <sz val="11"/>
        <rFont val="Calibri"/>
        <family val="2"/>
        <scheme val="minor"/>
      </rPr>
      <t>5</t>
    </r>
    <r>
      <rPr>
        <sz val="11"/>
        <rFont val="Calibri"/>
        <family val="2"/>
        <scheme val="minor"/>
      </rPr>
      <t>F</t>
    </r>
    <r>
      <rPr>
        <vertAlign val="subscript"/>
        <sz val="11"/>
        <rFont val="Calibri"/>
        <family val="2"/>
        <scheme val="minor"/>
      </rPr>
      <t>11</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COOH</t>
    </r>
  </si>
  <si>
    <r>
      <t>C</t>
    </r>
    <r>
      <rPr>
        <vertAlign val="subscript"/>
        <sz val="11"/>
        <rFont val="Calibri"/>
        <family val="2"/>
        <scheme val="minor"/>
      </rPr>
      <t>6</t>
    </r>
    <r>
      <rPr>
        <sz val="11"/>
        <rFont val="Calibri"/>
        <family val="2"/>
        <scheme val="minor"/>
      </rPr>
      <t>F</t>
    </r>
    <r>
      <rPr>
        <vertAlign val="subscript"/>
        <sz val="11"/>
        <rFont val="Calibri"/>
        <family val="2"/>
        <scheme val="minor"/>
      </rPr>
      <t>13</t>
    </r>
    <r>
      <rPr>
        <sz val="11"/>
        <rFont val="Calibri"/>
        <family val="2"/>
        <scheme val="minor"/>
      </rPr>
      <t>CH</t>
    </r>
    <r>
      <rPr>
        <vertAlign val="subscript"/>
        <sz val="11"/>
        <rFont val="Calibri"/>
        <family val="2"/>
        <scheme val="minor"/>
      </rPr>
      <t>2</t>
    </r>
    <r>
      <rPr>
        <sz val="11"/>
        <rFont val="Calibri"/>
        <family val="2"/>
        <scheme val="minor"/>
      </rPr>
      <t>COOH</t>
    </r>
  </si>
  <si>
    <r>
      <t>C</t>
    </r>
    <r>
      <rPr>
        <vertAlign val="subscript"/>
        <sz val="11"/>
        <rFont val="Calibri"/>
        <family val="2"/>
        <scheme val="minor"/>
      </rPr>
      <t>7</t>
    </r>
    <r>
      <rPr>
        <sz val="11"/>
        <rFont val="Calibri"/>
        <family val="2"/>
        <scheme val="minor"/>
      </rPr>
      <t>F</t>
    </r>
    <r>
      <rPr>
        <vertAlign val="subscript"/>
        <sz val="11"/>
        <rFont val="Calibri"/>
        <family val="2"/>
        <scheme val="minor"/>
      </rPr>
      <t>15</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COOH</t>
    </r>
  </si>
  <si>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CH</t>
    </r>
    <r>
      <rPr>
        <vertAlign val="subscript"/>
        <sz val="11"/>
        <rFont val="Calibri"/>
        <family val="2"/>
        <scheme val="minor"/>
      </rPr>
      <t>2</t>
    </r>
    <r>
      <rPr>
        <sz val="11"/>
        <rFont val="Calibri"/>
        <family val="2"/>
        <scheme val="minor"/>
      </rPr>
      <t>COOH</t>
    </r>
  </si>
  <si>
    <r>
      <t>C</t>
    </r>
    <r>
      <rPr>
        <vertAlign val="subscript"/>
        <sz val="11"/>
        <rFont val="Calibri"/>
        <family val="2"/>
        <scheme val="minor"/>
      </rPr>
      <t>10</t>
    </r>
    <r>
      <rPr>
        <sz val="11"/>
        <rFont val="Calibri"/>
        <family val="2"/>
        <scheme val="minor"/>
      </rPr>
      <t>F</t>
    </r>
    <r>
      <rPr>
        <vertAlign val="subscript"/>
        <sz val="11"/>
        <rFont val="Calibri"/>
        <family val="2"/>
        <scheme val="minor"/>
      </rPr>
      <t>21</t>
    </r>
    <r>
      <rPr>
        <sz val="11"/>
        <rFont val="Calibri"/>
        <family val="2"/>
        <scheme val="minor"/>
      </rPr>
      <t>CH</t>
    </r>
    <r>
      <rPr>
        <vertAlign val="subscript"/>
        <sz val="11"/>
        <rFont val="Calibri"/>
        <family val="2"/>
        <scheme val="minor"/>
      </rPr>
      <t>2</t>
    </r>
    <r>
      <rPr>
        <sz val="11"/>
        <rFont val="Calibri"/>
        <family val="2"/>
        <scheme val="minor"/>
      </rPr>
      <t>COOH</t>
    </r>
  </si>
  <si>
    <r>
      <t>C</t>
    </r>
    <r>
      <rPr>
        <vertAlign val="subscript"/>
        <sz val="11"/>
        <rFont val="Calibri"/>
        <family val="2"/>
        <scheme val="minor"/>
      </rPr>
      <t>12</t>
    </r>
    <r>
      <rPr>
        <sz val="11"/>
        <rFont val="Calibri"/>
        <family val="2"/>
        <scheme val="minor"/>
      </rPr>
      <t>F</t>
    </r>
    <r>
      <rPr>
        <vertAlign val="subscript"/>
        <sz val="11"/>
        <rFont val="Calibri"/>
        <family val="2"/>
        <scheme val="minor"/>
      </rPr>
      <t>25</t>
    </r>
    <r>
      <rPr>
        <sz val="11"/>
        <rFont val="Calibri"/>
        <family val="2"/>
        <scheme val="minor"/>
      </rPr>
      <t>CH</t>
    </r>
    <r>
      <rPr>
        <vertAlign val="subscript"/>
        <sz val="11"/>
        <rFont val="Calibri"/>
        <family val="2"/>
        <scheme val="minor"/>
      </rPr>
      <t>2</t>
    </r>
    <r>
      <rPr>
        <sz val="11"/>
        <rFont val="Calibri"/>
        <family val="2"/>
        <scheme val="minor"/>
      </rPr>
      <t>COOH</t>
    </r>
  </si>
  <si>
    <r>
      <t>C</t>
    </r>
    <r>
      <rPr>
        <vertAlign val="subscript"/>
        <sz val="11"/>
        <rFont val="Calibri"/>
        <family val="2"/>
        <scheme val="minor"/>
      </rPr>
      <t>4</t>
    </r>
    <r>
      <rPr>
        <sz val="11"/>
        <rFont val="Calibri"/>
        <family val="2"/>
        <scheme val="minor"/>
      </rPr>
      <t>F</t>
    </r>
    <r>
      <rPr>
        <vertAlign val="subscript"/>
        <sz val="11"/>
        <rFont val="Calibri"/>
        <family val="2"/>
        <scheme val="minor"/>
      </rPr>
      <t>9</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</si>
  <si>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6</t>
    </r>
    <r>
      <rPr>
        <sz val="11"/>
        <rFont val="Calibri"/>
        <family val="2"/>
        <scheme val="minor"/>
      </rPr>
      <t>F</t>
    </r>
    <r>
      <rPr>
        <vertAlign val="subscript"/>
        <sz val="11"/>
        <rFont val="Calibri"/>
        <family val="2"/>
        <scheme val="minor"/>
      </rPr>
      <t>13</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</si>
  <si>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SO</t>
    </r>
    <r>
      <rPr>
        <vertAlign val="subscript"/>
        <sz val="11"/>
        <rFont val="Calibri"/>
        <family val="2"/>
        <scheme val="minor"/>
      </rPr>
      <t>3</t>
    </r>
    <r>
      <rPr>
        <sz val="11"/>
        <rFont val="Calibri"/>
        <family val="2"/>
        <scheme val="minor"/>
      </rPr>
      <t>H</t>
    </r>
  </si>
  <si>
    <r>
      <t>C</t>
    </r>
    <r>
      <rPr>
        <vertAlign val="subscript"/>
        <sz val="11"/>
        <rFont val="Calibri"/>
        <family val="2"/>
        <scheme val="minor"/>
      </rPr>
      <t>4</t>
    </r>
    <r>
      <rPr>
        <sz val="11"/>
        <rFont val="Calibri"/>
        <family val="2"/>
        <scheme val="minor"/>
      </rPr>
      <t>F</t>
    </r>
    <r>
      <rPr>
        <vertAlign val="subscript"/>
        <sz val="11"/>
        <rFont val="Calibri"/>
        <family val="2"/>
        <scheme val="minor"/>
      </rPr>
      <t>9</t>
    </r>
    <r>
      <rPr>
        <sz val="11"/>
        <rFont val="Calibri"/>
        <family val="2"/>
        <scheme val="minor"/>
      </rPr>
      <t>SO</t>
    </r>
    <r>
      <rPr>
        <vertAlign val="subscript"/>
        <sz val="11"/>
        <rFont val="Calibri"/>
        <family val="2"/>
        <scheme val="minor"/>
      </rPr>
      <t>2</t>
    </r>
    <r>
      <rPr>
        <sz val="11"/>
        <rFont val="Calibri"/>
        <family val="2"/>
        <scheme val="minor"/>
      </rPr>
      <t>NH</t>
    </r>
    <r>
      <rPr>
        <vertAlign val="subscript"/>
        <sz val="11"/>
        <rFont val="Calibri"/>
        <family val="2"/>
        <scheme val="minor"/>
      </rPr>
      <t>2</t>
    </r>
  </si>
  <si>
    <r>
      <t>C</t>
    </r>
    <r>
      <rPr>
        <vertAlign val="subscript"/>
        <sz val="11"/>
        <rFont val="Calibri"/>
        <family val="2"/>
        <scheme val="minor"/>
      </rPr>
      <t>6</t>
    </r>
    <r>
      <rPr>
        <sz val="11"/>
        <rFont val="Calibri"/>
        <family val="2"/>
        <scheme val="minor"/>
      </rPr>
      <t>F</t>
    </r>
    <r>
      <rPr>
        <vertAlign val="subscript"/>
        <sz val="11"/>
        <rFont val="Calibri"/>
        <family val="2"/>
        <scheme val="minor"/>
      </rPr>
      <t>13</t>
    </r>
    <r>
      <rPr>
        <sz val="11"/>
        <rFont val="Calibri"/>
        <family val="2"/>
        <scheme val="minor"/>
      </rPr>
      <t>SO</t>
    </r>
    <r>
      <rPr>
        <vertAlign val="subscript"/>
        <sz val="11"/>
        <rFont val="Calibri"/>
        <family val="2"/>
        <scheme val="minor"/>
      </rPr>
      <t>2</t>
    </r>
    <r>
      <rPr>
        <sz val="11"/>
        <rFont val="Calibri"/>
        <family val="2"/>
        <scheme val="minor"/>
      </rPr>
      <t>NH</t>
    </r>
    <r>
      <rPr>
        <vertAlign val="subscript"/>
        <sz val="11"/>
        <rFont val="Calibri"/>
        <family val="2"/>
        <scheme val="minor"/>
      </rPr>
      <t>2</t>
    </r>
  </si>
  <si>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t>
    </r>
    <r>
      <rPr>
        <vertAlign val="subscript"/>
        <sz val="11"/>
        <rFont val="Calibri"/>
        <family val="2"/>
        <scheme val="minor"/>
      </rPr>
      <t>2</t>
    </r>
    <r>
      <rPr>
        <sz val="11"/>
        <rFont val="Calibri"/>
        <family val="2"/>
        <scheme val="minor"/>
      </rPr>
      <t>N(CH</t>
    </r>
    <r>
      <rPr>
        <vertAlign val="subscript"/>
        <sz val="11"/>
        <rFont val="Calibri"/>
        <family val="2"/>
        <scheme val="minor"/>
      </rPr>
      <t>2</t>
    </r>
    <r>
      <rPr>
        <sz val="11"/>
        <rFont val="Calibri"/>
        <family val="2"/>
        <scheme val="minor"/>
      </rPr>
      <t>)</t>
    </r>
    <r>
      <rPr>
        <vertAlign val="subscript"/>
        <sz val="11"/>
        <rFont val="Calibri"/>
        <family val="2"/>
        <scheme val="minor"/>
      </rPr>
      <t>3</t>
    </r>
    <r>
      <rPr>
        <sz val="11"/>
        <rFont val="Calibri"/>
        <family val="2"/>
        <scheme val="minor"/>
      </rPr>
      <t>CH</t>
    </r>
    <r>
      <rPr>
        <vertAlign val="subscript"/>
        <sz val="11"/>
        <rFont val="Calibri"/>
        <family val="2"/>
        <scheme val="minor"/>
      </rPr>
      <t>3</t>
    </r>
    <r>
      <rPr>
        <sz val="11"/>
        <rFont val="Calibri"/>
        <family val="2"/>
        <scheme val="minor"/>
      </rPr>
      <t>OPO</t>
    </r>
    <r>
      <rPr>
        <vertAlign val="subscript"/>
        <sz val="11"/>
        <rFont val="Calibri"/>
        <family val="2"/>
        <scheme val="minor"/>
      </rPr>
      <t>3</t>
    </r>
    <r>
      <rPr>
        <sz val="11"/>
        <rFont val="Calibri"/>
        <family val="2"/>
        <scheme val="minor"/>
      </rPr>
      <t>H</t>
    </r>
    <r>
      <rPr>
        <vertAlign val="subscript"/>
        <sz val="11"/>
        <rFont val="Calibri"/>
        <family val="2"/>
        <scheme val="minor"/>
      </rPr>
      <t>2</t>
    </r>
  </si>
  <si>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SO</t>
    </r>
    <r>
      <rPr>
        <vertAlign val="subscript"/>
        <sz val="11"/>
        <rFont val="Calibri"/>
        <family val="2"/>
        <scheme val="minor"/>
      </rPr>
      <t>2</t>
    </r>
    <r>
      <rPr>
        <sz val="11"/>
        <rFont val="Calibri"/>
        <family val="2"/>
        <scheme val="minor"/>
      </rPr>
      <t>N(CH</t>
    </r>
    <r>
      <rPr>
        <vertAlign val="subscript"/>
        <sz val="11"/>
        <rFont val="Calibri"/>
        <family val="2"/>
        <scheme val="minor"/>
      </rPr>
      <t>2</t>
    </r>
    <r>
      <rPr>
        <sz val="11"/>
        <rFont val="Calibri"/>
        <family val="2"/>
        <scheme val="minor"/>
      </rPr>
      <t>)</t>
    </r>
    <r>
      <rPr>
        <vertAlign val="subscript"/>
        <sz val="11"/>
        <rFont val="Calibri"/>
        <family val="2"/>
        <scheme val="minor"/>
      </rPr>
      <t>3</t>
    </r>
    <r>
      <rPr>
        <sz val="11"/>
        <rFont val="Calibri"/>
        <family val="2"/>
        <scheme val="minor"/>
      </rPr>
      <t>CH</t>
    </r>
    <r>
      <rPr>
        <vertAlign val="subscript"/>
        <sz val="11"/>
        <rFont val="Calibri"/>
        <family val="2"/>
        <scheme val="minor"/>
      </rPr>
      <t>3</t>
    </r>
    <r>
      <rPr>
        <sz val="11"/>
        <rFont val="Calibri"/>
        <family val="2"/>
        <scheme val="minor"/>
      </rPr>
      <t>O)</t>
    </r>
    <r>
      <rPr>
        <vertAlign val="subscript"/>
        <sz val="11"/>
        <rFont val="Calibri"/>
        <family val="2"/>
        <scheme val="minor"/>
      </rPr>
      <t>2</t>
    </r>
    <r>
      <rPr>
        <sz val="11"/>
        <rFont val="Calibri"/>
        <family val="2"/>
        <scheme val="minor"/>
      </rPr>
      <t>PO</t>
    </r>
    <r>
      <rPr>
        <vertAlign val="subscript"/>
        <sz val="11"/>
        <rFont val="Calibri"/>
        <family val="2"/>
        <scheme val="minor"/>
      </rPr>
      <t>2</t>
    </r>
    <r>
      <rPr>
        <sz val="11"/>
        <rFont val="Calibri"/>
        <family val="2"/>
        <scheme val="minor"/>
      </rPr>
      <t>H</t>
    </r>
  </si>
  <si>
    <r>
      <t>C</t>
    </r>
    <r>
      <rPr>
        <vertAlign val="subscript"/>
        <sz val="11"/>
        <rFont val="Calibri"/>
        <family val="2"/>
        <scheme val="minor"/>
      </rPr>
      <t>4</t>
    </r>
    <r>
      <rPr>
        <sz val="11"/>
        <rFont val="Calibri"/>
        <family val="2"/>
        <scheme val="minor"/>
      </rPr>
      <t>F</t>
    </r>
    <r>
      <rPr>
        <vertAlign val="subscript"/>
        <sz val="11"/>
        <rFont val="Calibri"/>
        <family val="2"/>
        <scheme val="minor"/>
      </rPr>
      <t>9</t>
    </r>
    <r>
      <rPr>
        <sz val="11"/>
        <rFont val="Calibri"/>
        <family val="2"/>
        <scheme val="minor"/>
      </rPr>
      <t>SO</t>
    </r>
    <r>
      <rPr>
        <vertAlign val="subscript"/>
        <sz val="11"/>
        <rFont val="Calibri"/>
        <family val="2"/>
        <scheme val="minor"/>
      </rPr>
      <t>2</t>
    </r>
    <r>
      <rPr>
        <sz val="11"/>
        <rFont val="Calibri"/>
        <family val="2"/>
        <scheme val="minor"/>
      </rPr>
      <t>NH(CH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OH</t>
    </r>
  </si>
  <si>
    <r>
      <t>C</t>
    </r>
    <r>
      <rPr>
        <vertAlign val="subscript"/>
        <sz val="11"/>
        <rFont val="Calibri"/>
        <family val="2"/>
        <scheme val="minor"/>
      </rPr>
      <t>4</t>
    </r>
    <r>
      <rPr>
        <sz val="11"/>
        <rFont val="Calibri"/>
        <family val="2"/>
        <scheme val="minor"/>
      </rPr>
      <t>F</t>
    </r>
    <r>
      <rPr>
        <vertAlign val="subscript"/>
        <sz val="11"/>
        <rFont val="Calibri"/>
        <family val="2"/>
        <scheme val="minor"/>
      </rPr>
      <t>9</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OH</t>
    </r>
  </si>
  <si>
    <r>
      <t>C</t>
    </r>
    <r>
      <rPr>
        <vertAlign val="subscript"/>
        <sz val="11"/>
        <rFont val="Calibri"/>
        <family val="2"/>
        <scheme val="minor"/>
      </rPr>
      <t>6</t>
    </r>
    <r>
      <rPr>
        <sz val="11"/>
        <rFont val="Calibri"/>
        <family val="2"/>
        <scheme val="minor"/>
      </rPr>
      <t>F</t>
    </r>
    <r>
      <rPr>
        <vertAlign val="subscript"/>
        <sz val="11"/>
        <rFont val="Calibri"/>
        <family val="2"/>
        <scheme val="minor"/>
      </rPr>
      <t>13</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OH</t>
    </r>
  </si>
  <si>
    <r>
      <t>C</t>
    </r>
    <r>
      <rPr>
        <vertAlign val="subscript"/>
        <sz val="11"/>
        <rFont val="Calibri"/>
        <family val="2"/>
        <scheme val="minor"/>
      </rPr>
      <t>8</t>
    </r>
    <r>
      <rPr>
        <sz val="11"/>
        <rFont val="Calibri"/>
        <family val="2"/>
        <scheme val="minor"/>
      </rPr>
      <t>F</t>
    </r>
    <r>
      <rPr>
        <vertAlign val="subscript"/>
        <sz val="11"/>
        <rFont val="Calibri"/>
        <family val="2"/>
        <scheme val="minor"/>
      </rPr>
      <t>17</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OH</t>
    </r>
  </si>
  <si>
    <r>
      <t>C</t>
    </r>
    <r>
      <rPr>
        <vertAlign val="subscript"/>
        <sz val="11"/>
        <rFont val="Calibri"/>
        <family val="2"/>
        <scheme val="minor"/>
      </rPr>
      <t>10</t>
    </r>
    <r>
      <rPr>
        <sz val="11"/>
        <rFont val="Calibri"/>
        <family val="2"/>
        <scheme val="minor"/>
      </rPr>
      <t>F</t>
    </r>
    <r>
      <rPr>
        <vertAlign val="subscript"/>
        <sz val="11"/>
        <rFont val="Calibri"/>
        <family val="2"/>
        <scheme val="minor"/>
      </rPr>
      <t>21</t>
    </r>
    <r>
      <rPr>
        <sz val="11"/>
        <rFont val="Calibri"/>
        <family val="2"/>
        <scheme val="minor"/>
      </rPr>
      <t>(CH</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OH</t>
    </r>
  </si>
  <si>
    <r>
      <t>CF</t>
    </r>
    <r>
      <rPr>
        <vertAlign val="subscript"/>
        <sz val="11"/>
        <rFont val="Calibri"/>
        <family val="2"/>
        <scheme val="minor"/>
      </rPr>
      <t>3</t>
    </r>
    <r>
      <rPr>
        <sz val="11"/>
        <rFont val="Calibri"/>
        <family val="2"/>
        <scheme val="minor"/>
      </rPr>
      <t>OCF</t>
    </r>
    <r>
      <rPr>
        <vertAlign val="subscript"/>
        <sz val="11"/>
        <rFont val="Calibri"/>
        <family val="2"/>
        <scheme val="minor"/>
      </rPr>
      <t>2</t>
    </r>
    <r>
      <rPr>
        <sz val="11"/>
        <rFont val="Calibri"/>
        <family val="2"/>
        <scheme val="minor"/>
      </rPr>
      <t>COOH</t>
    </r>
  </si>
  <si>
    <r>
      <t>(CF</t>
    </r>
    <r>
      <rPr>
        <vertAlign val="subscript"/>
        <sz val="11"/>
        <rFont val="Calibri"/>
        <family val="2"/>
        <scheme val="minor"/>
      </rPr>
      <t>3</t>
    </r>
    <r>
      <rPr>
        <sz val="11"/>
        <rFont val="Calibri"/>
        <family val="2"/>
        <scheme val="minor"/>
      </rPr>
      <t>)</t>
    </r>
    <r>
      <rPr>
        <vertAlign val="subscript"/>
        <sz val="11"/>
        <rFont val="Calibri"/>
        <family val="2"/>
        <scheme val="minor"/>
      </rPr>
      <t>2</t>
    </r>
    <r>
      <rPr>
        <sz val="11"/>
        <rFont val="Calibri"/>
        <family val="2"/>
        <scheme val="minor"/>
      </rPr>
      <t>(S0</t>
    </r>
    <r>
      <rPr>
        <vertAlign val="subscript"/>
        <sz val="11"/>
        <rFont val="Calibri"/>
        <family val="2"/>
        <scheme val="minor"/>
      </rPr>
      <t>2</t>
    </r>
    <r>
      <rPr>
        <sz val="11"/>
        <rFont val="Calibri"/>
        <family val="2"/>
        <scheme val="minor"/>
      </rPr>
      <t>)</t>
    </r>
    <r>
      <rPr>
        <vertAlign val="subscript"/>
        <sz val="11"/>
        <rFont val="Calibri"/>
        <family val="2"/>
        <scheme val="minor"/>
      </rPr>
      <t>2</t>
    </r>
    <r>
      <rPr>
        <sz val="11"/>
        <rFont val="Calibri"/>
        <family val="2"/>
        <scheme val="minor"/>
      </rPr>
      <t>NH</t>
    </r>
  </si>
  <si>
    <r>
      <t>1204</t>
    </r>
    <r>
      <rPr>
        <vertAlign val="superscript"/>
        <sz val="11"/>
        <rFont val="Calibri"/>
        <family val="2"/>
        <scheme val="minor"/>
      </rPr>
      <t>n</t>
    </r>
  </si>
  <si>
    <r>
      <t>1134</t>
    </r>
    <r>
      <rPr>
        <vertAlign val="superscript"/>
        <sz val="12"/>
        <rFont val="Calibri"/>
        <family val="2"/>
        <scheme val="minor"/>
      </rPr>
      <t>n</t>
    </r>
  </si>
  <si>
    <r>
      <t>231</t>
    </r>
    <r>
      <rPr>
        <vertAlign val="superscript"/>
        <sz val="11"/>
        <rFont val="Calibri"/>
        <family val="2"/>
        <scheme val="minor"/>
      </rPr>
      <t>n</t>
    </r>
  </si>
  <si>
    <r>
      <t>1134</t>
    </r>
    <r>
      <rPr>
        <vertAlign val="superscript"/>
        <sz val="11"/>
        <rFont val="Calibri"/>
        <family val="2"/>
        <scheme val="minor"/>
      </rPr>
      <t>n</t>
    </r>
  </si>
  <si>
    <r>
      <t>PFOA (10- 40%),
PFHxA (1–4%),
CO</t>
    </r>
    <r>
      <rPr>
        <vertAlign val="subscript"/>
        <sz val="11"/>
        <rFont val="Calibri"/>
        <family val="2"/>
        <scheme val="minor"/>
      </rPr>
      <t>2</t>
    </r>
    <r>
      <rPr>
        <sz val="11"/>
        <rFont val="Calibri"/>
        <family val="2"/>
        <scheme val="minor"/>
      </rPr>
      <t xml:space="preserve"> (2-3%)</t>
    </r>
  </si>
  <si>
    <r>
      <t>PFOA (20%),
CO</t>
    </r>
    <r>
      <rPr>
        <vertAlign val="subscript"/>
        <sz val="11"/>
        <rFont val="Calibri"/>
        <family val="2"/>
        <scheme val="minor"/>
      </rPr>
      <t>2</t>
    </r>
    <r>
      <rPr>
        <sz val="11"/>
        <rFont val="Calibri"/>
        <family val="2"/>
        <scheme val="minor"/>
      </rPr>
      <t xml:space="preserve"> (6.8%)</t>
    </r>
  </si>
  <si>
    <r>
      <t>GenX</t>
    </r>
    <r>
      <rPr>
        <vertAlign val="superscript"/>
        <sz val="11"/>
        <rFont val="Calibri"/>
        <family val="2"/>
        <scheme val="minor"/>
      </rPr>
      <t>a</t>
    </r>
  </si>
  <si>
    <r>
      <t>6:2 FtSOPrA, 
6:2 FtSO</t>
    </r>
    <r>
      <rPr>
        <vertAlign val="subscript"/>
        <sz val="11"/>
        <rFont val="Calibri"/>
        <family val="2"/>
        <scheme val="minor"/>
      </rPr>
      <t>2</t>
    </r>
    <r>
      <rPr>
        <sz val="11"/>
        <rFont val="Calibri"/>
        <family val="2"/>
        <scheme val="minor"/>
      </rPr>
      <t>PrA,
6:2 FtSi</t>
    </r>
  </si>
  <si>
    <r>
      <rPr>
        <b/>
        <sz val="14"/>
        <color rgb="FFFF0000"/>
        <rFont val="Calibri (Body)"/>
      </rPr>
      <t>Note:</t>
    </r>
    <r>
      <rPr>
        <sz val="14"/>
        <color theme="1"/>
        <rFont val="Calibri"/>
        <family val="2"/>
        <scheme val="minor"/>
      </rPr>
      <t xml:space="preserve"> New for this update is the tab called Biotransformation. Discussion of the information in the Biotransformation tab is included in the 2025 Priority Topic: Section 1.3.3 Perfluoroalkyl Acids Precursor Biotransformation. At this link: https://pfas-1.itrcweb.org/1-3-priority-topics-fate-transport-site-characterization/#1_3_3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</si>
</sst>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409]General"/>
    <numFmt numFmtId="166" formatCode="0.00000"/>
    <numFmt numFmtId="167" formatCode="0.0000"/>
    <numFmt numFmtId="168" formatCode="0.000"/>
    <numFmt numFmtId="169" formatCode="0.0E+00"/>
  </numFmts>
  <fonts count="8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4"/>
      <color theme="1"/>
      <name val="Calibri"/>
      <family val="2"/>
    </font>
    <font>
      <b/>
      <sz val="14"/>
      <color theme="1"/>
      <name val="Calibri"/>
      <family val="2"/>
    </font>
    <font>
      <b/>
      <vertAlign val="superscript"/>
      <sz val="14"/>
      <color theme="1"/>
      <name val="Calibri"/>
      <family val="2"/>
    </font>
    <font>
      <b/>
      <vertAlign val="subscript"/>
      <sz val="14"/>
      <color theme="1"/>
      <name val="Calibri"/>
      <family val="2"/>
    </font>
    <font>
      <sz val="11"/>
      <color rgb="FF000000"/>
      <name val="Calibri"/>
      <family val="2"/>
    </font>
    <font>
      <b/>
      <sz val="16"/>
      <color rgb="FFFF0000"/>
      <name val="Calibri"/>
      <family val="2"/>
      <scheme val="minor"/>
    </font>
    <font>
      <b/>
      <sz val="10"/>
      <name val="Arial Narrow"/>
      <family val="2"/>
    </font>
    <font>
      <b/>
      <sz val="11"/>
      <color theme="9"/>
      <name val="Calibri"/>
      <family val="2"/>
    </font>
    <font>
      <sz val="11"/>
      <name val="Calibri"/>
      <family val="2"/>
    </font>
    <font>
      <b/>
      <sz val="11"/>
      <color rgb="FF7030A0"/>
      <name val="Calibri"/>
      <family val="2"/>
    </font>
    <font>
      <sz val="12"/>
      <color theme="1"/>
      <name val="Calibri"/>
      <family val="2"/>
      <scheme val="minor"/>
    </font>
    <font>
      <sz val="12"/>
      <color rgb="FF000000"/>
      <name val="Calibri"/>
      <family val="2"/>
    </font>
    <font>
      <b/>
      <sz val="11"/>
      <color rgb="FF0070C0"/>
      <name val="Calibri"/>
      <family val="2"/>
    </font>
    <font>
      <b/>
      <sz val="11"/>
      <color theme="5" tint="-0.249977111117893"/>
      <name val="Calibri"/>
      <family val="2"/>
    </font>
    <font>
      <b/>
      <sz val="11"/>
      <color rgb="FFFF6600"/>
      <name val="Calibri"/>
      <family val="2"/>
    </font>
    <font>
      <b/>
      <sz val="14"/>
      <name val="Calibri"/>
      <family val="2"/>
      <scheme val="minor"/>
    </font>
    <font>
      <b/>
      <sz val="12"/>
      <color rgb="FFFF0000"/>
      <name val="Calibri"/>
      <family val="2"/>
    </font>
    <font>
      <b/>
      <sz val="11"/>
      <color rgb="FFFF0000"/>
      <name val="Calibri"/>
      <family val="2"/>
    </font>
    <font>
      <b/>
      <sz val="11"/>
      <color theme="1"/>
      <name val="Calibri"/>
      <family val="2"/>
      <scheme val="minor"/>
    </font>
    <font>
      <sz val="12"/>
      <name val="Calibri"/>
      <family val="2"/>
      <scheme val="minor"/>
    </font>
    <font>
      <b/>
      <sz val="14"/>
      <color rgb="FF000000"/>
      <name val="Calibri"/>
      <family val="2"/>
    </font>
    <font>
      <sz val="11"/>
      <name val="Calibri"/>
      <family val="2"/>
      <scheme val="minor"/>
    </font>
    <font>
      <b/>
      <sz val="12"/>
      <color theme="1"/>
      <name val="Calibri"/>
      <family val="2"/>
      <scheme val="minor"/>
    </font>
    <font>
      <i/>
      <sz val="11"/>
      <name val="Calibri"/>
      <family val="2"/>
      <scheme val="minor"/>
    </font>
    <font>
      <vertAlign val="subscript"/>
      <sz val="11"/>
      <color theme="1"/>
      <name val="Calibri"/>
      <family val="2"/>
      <scheme val="minor"/>
    </font>
    <font>
      <u/>
      <sz val="11"/>
      <name val="Calibri"/>
      <family val="2"/>
      <scheme val="minor"/>
    </font>
    <font>
      <strike/>
      <sz val="11"/>
      <name val="Calibri"/>
      <family val="2"/>
      <scheme val="minor"/>
    </font>
    <font>
      <sz val="11"/>
      <color rgb="FF0070C0"/>
      <name val="Calibri"/>
      <family val="2"/>
      <scheme val="minor"/>
    </font>
    <font>
      <sz val="11"/>
      <color rgb="FF222222"/>
      <name val="Calibri"/>
      <family val="2"/>
      <scheme val="minor"/>
    </font>
    <font>
      <i/>
      <sz val="11"/>
      <color rgb="FF222222"/>
      <name val="Calibri"/>
      <family val="2"/>
      <scheme val="minor"/>
    </font>
    <font>
      <b/>
      <sz val="14"/>
      <color theme="1"/>
      <name val="Calibri"/>
      <family val="2"/>
      <scheme val="minor"/>
    </font>
    <font>
      <b/>
      <sz val="11"/>
      <name val="Calibri"/>
      <family val="2"/>
    </font>
    <font>
      <i/>
      <sz val="11"/>
      <color theme="1"/>
      <name val="Calibri"/>
      <family val="2"/>
      <scheme val="minor"/>
    </font>
    <font>
      <b/>
      <sz val="11"/>
      <name val="Calibri"/>
      <family val="2"/>
      <scheme val="minor"/>
    </font>
    <font>
      <b/>
      <vertAlign val="superscript"/>
      <sz val="14"/>
      <color theme="1"/>
      <name val="Calibri"/>
      <family val="2"/>
      <scheme val="minor"/>
    </font>
    <font>
      <vertAlign val="superscript"/>
      <sz val="11"/>
      <name val="Calibri"/>
      <family val="2"/>
      <scheme val="minor"/>
    </font>
    <font>
      <sz val="14"/>
      <color theme="1"/>
      <name val="Calibri"/>
      <family val="2"/>
      <scheme val="minor"/>
    </font>
    <font>
      <vertAlign val="subscript"/>
      <sz val="11"/>
      <name val="Calibri"/>
      <family val="2"/>
      <scheme val="minor"/>
    </font>
    <font>
      <sz val="11"/>
      <color rgb="FF000000"/>
      <name val="Calibri"/>
      <family val="2"/>
      <scheme val="minor"/>
    </font>
    <font>
      <sz val="14"/>
      <color rgb="FF000000"/>
      <name val="Calibri"/>
      <family val="2"/>
      <scheme val="minor"/>
    </font>
    <font>
      <sz val="11"/>
      <color rgb="FF202122"/>
      <name val="Arial"/>
      <family val="2"/>
    </font>
    <font>
      <u/>
      <sz val="11"/>
      <color rgb="FF0B0080"/>
      <name val="Arial"/>
      <family val="2"/>
    </font>
    <font>
      <b/>
      <vertAlign val="subscript"/>
      <sz val="14"/>
      <color theme="1"/>
      <name val="Calibri"/>
      <family val="2"/>
      <scheme val="minor"/>
    </font>
    <font>
      <sz val="12"/>
      <color rgb="FFFF0000"/>
      <name val="Calibri"/>
      <family val="2"/>
      <scheme val="minor"/>
    </font>
    <font>
      <b/>
      <vertAlign val="superscript"/>
      <sz val="14"/>
      <name val="Calibri"/>
      <family val="2"/>
      <scheme val="minor"/>
    </font>
    <font>
      <vertAlign val="subscript"/>
      <sz val="11"/>
      <color theme="1"/>
      <name val="Calibri"/>
      <family val="2"/>
    </font>
    <font>
      <b/>
      <sz val="12"/>
      <color rgb="FF00B050"/>
      <name val="Calibri"/>
      <family val="2"/>
      <scheme val="minor"/>
    </font>
    <font>
      <b/>
      <sz val="12"/>
      <color rgb="FF0070C0"/>
      <name val="Calibri"/>
      <family val="2"/>
      <scheme val="minor"/>
    </font>
    <font>
      <sz val="8"/>
      <name val="Calibri"/>
      <family val="2"/>
      <scheme val="minor"/>
    </font>
    <font>
      <b/>
      <sz val="12"/>
      <color theme="5" tint="-0.249977111117893"/>
      <name val="Calibri"/>
      <family val="2"/>
      <scheme val="minor"/>
    </font>
    <font>
      <b/>
      <sz val="12"/>
      <color theme="4" tint="-0.249977111117893"/>
      <name val="Calibri"/>
      <family val="2"/>
      <scheme val="minor"/>
    </font>
    <font>
      <sz val="11"/>
      <color rgb="FF00B0F0"/>
      <name val="Calibri"/>
      <family val="2"/>
      <scheme val="minor"/>
    </font>
    <font>
      <b/>
      <sz val="14"/>
      <name val="Calibri"/>
      <family val="2"/>
    </font>
    <font>
      <b/>
      <vertAlign val="superscript"/>
      <sz val="14"/>
      <name val="Calibri"/>
      <family val="2"/>
    </font>
    <font>
      <b/>
      <sz val="12"/>
      <name val="Calibri"/>
      <family val="2"/>
      <scheme val="minor"/>
    </font>
    <font>
      <sz val="12"/>
      <color theme="7" tint="-0.499984740745262"/>
      <name val="Calibri"/>
      <family val="2"/>
      <scheme val="minor"/>
    </font>
    <font>
      <i/>
      <sz val="11"/>
      <color rgb="FF000000"/>
      <name val="Calibri"/>
      <family val="2"/>
      <scheme val="minor"/>
    </font>
    <font>
      <sz val="11"/>
      <color rgb="FF00B050"/>
      <name val="Calibri"/>
      <family val="2"/>
      <scheme val="minor"/>
    </font>
    <font>
      <sz val="11"/>
      <color rgb="FF0070C0"/>
      <name val="Calibri"/>
      <family val="2"/>
    </font>
    <font>
      <sz val="12"/>
      <color rgb="FF7030A0"/>
      <name val="Calibri"/>
      <family val="2"/>
      <scheme val="minor"/>
    </font>
    <font>
      <b/>
      <sz val="12"/>
      <color theme="4"/>
      <name val="Calibri"/>
      <family val="2"/>
      <scheme val="minor"/>
    </font>
    <font>
      <strike/>
      <sz val="11"/>
      <color theme="1"/>
      <name val="Calibri"/>
      <family val="2"/>
      <scheme val="minor"/>
    </font>
    <font>
      <u/>
      <sz val="12"/>
      <color theme="10"/>
      <name val="Calibri"/>
      <family val="2"/>
      <scheme val="minor"/>
    </font>
    <font>
      <b/>
      <sz val="16"/>
      <name val="Calibri"/>
      <family val="2"/>
      <scheme val="minor"/>
    </font>
    <font>
      <u/>
      <sz val="11"/>
      <color theme="10"/>
      <name val="Calibri"/>
      <family val="2"/>
    </font>
    <font>
      <u/>
      <sz val="14"/>
      <color theme="10"/>
      <name val="Calibri (Body)"/>
    </font>
    <font>
      <sz val="14"/>
      <color theme="1"/>
      <name val="Calibri (Body)"/>
    </font>
    <font>
      <b/>
      <sz val="14"/>
      <color rgb="FF0070C0"/>
      <name val="Calibri"/>
      <family val="2"/>
      <scheme val="minor"/>
    </font>
    <font>
      <b/>
      <u/>
      <sz val="14"/>
      <color rgb="FF0070C0"/>
      <name val="Calibri"/>
      <family val="2"/>
      <scheme val="minor"/>
    </font>
    <font>
      <u/>
      <sz val="14"/>
      <color theme="10"/>
      <name val="Calibri"/>
      <family val="2"/>
    </font>
    <font>
      <b/>
      <sz val="14"/>
      <color rgb="FFFF0000"/>
      <name val="Calibri"/>
      <family val="2"/>
      <scheme val="minor"/>
    </font>
    <font>
      <b/>
      <strike/>
      <sz val="12"/>
      <color theme="1"/>
      <name val="Calibri"/>
      <family val="2"/>
      <scheme val="minor"/>
    </font>
    <font>
      <b/>
      <sz val="11"/>
      <color theme="1"/>
      <name val="Calibri"/>
      <family val="2"/>
    </font>
    <font>
      <vertAlign val="superscript"/>
      <sz val="12"/>
      <name val="Calibri"/>
      <family val="2"/>
      <scheme val="minor"/>
    </font>
    <font>
      <b/>
      <sz val="14"/>
      <color rgb="FFFF0000"/>
      <name val="Calibri (Body)"/>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CC3399"/>
        <bgColor indexed="64"/>
      </patternFill>
    </fill>
  </fills>
  <borders count="65">
    <border>
      <left/>
      <right/>
      <top/>
      <bottom/>
      <diagonal/>
    </border>
    <border>
      <left/>
      <right/>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tint="-0.249977111117893"/>
      </right>
      <top style="medium">
        <color indexed="64"/>
      </top>
      <bottom style="medium">
        <color indexed="64"/>
      </bottom>
      <diagonal/>
    </border>
    <border>
      <left style="thin">
        <color theme="0" tint="-0.249977111117893"/>
      </left>
      <right/>
      <top style="medium">
        <color indexed="64"/>
      </top>
      <bottom style="medium">
        <color indexed="64"/>
      </bottom>
      <diagonal/>
    </border>
    <border>
      <left/>
      <right style="medium">
        <color auto="1"/>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auto="1"/>
      </right>
      <top style="medium">
        <color auto="1"/>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auto="1"/>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auto="1"/>
      </top>
      <bottom/>
      <diagonal/>
    </border>
    <border>
      <left style="thin">
        <color indexed="64"/>
      </left>
      <right/>
      <top style="thin">
        <color indexed="64"/>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14">
    <xf numFmtId="0" fontId="0" fillId="0" borderId="0"/>
    <xf numFmtId="0" fontId="16" fillId="0" borderId="0"/>
    <xf numFmtId="0" fontId="10" fillId="0" borderId="0"/>
    <xf numFmtId="0" fontId="9" fillId="0" borderId="0"/>
    <xf numFmtId="0" fontId="22" fillId="0" borderId="0"/>
    <xf numFmtId="0" fontId="9" fillId="0" borderId="0"/>
    <xf numFmtId="165" fontId="23" fillId="0" borderId="0"/>
    <xf numFmtId="0" fontId="8" fillId="0" borderId="0"/>
    <xf numFmtId="0" fontId="7" fillId="0" borderId="0"/>
    <xf numFmtId="0" fontId="5" fillId="0" borderId="0"/>
    <xf numFmtId="0" fontId="4" fillId="0" borderId="0"/>
    <xf numFmtId="0" fontId="74" fillId="0" borderId="0" applyNumberFormat="0" applyFill="0" applyBorder="0" applyAlignment="0" applyProtection="0"/>
    <xf numFmtId="0" fontId="2" fillId="0" borderId="0"/>
    <xf numFmtId="0" fontId="76" fillId="0" borderId="0" applyNumberFormat="0" applyFill="0" applyBorder="0" applyAlignment="0" applyProtection="0"/>
  </cellStyleXfs>
  <cellXfs count="950">
    <xf numFmtId="0" fontId="0" fillId="0" borderId="0" xfId="0"/>
    <xf numFmtId="0" fontId="11" fillId="0" borderId="0" xfId="0" applyFont="1" applyAlignment="1">
      <alignment wrapText="1"/>
    </xf>
    <xf numFmtId="0" fontId="11" fillId="0" borderId="0" xfId="0" applyFont="1"/>
    <xf numFmtId="0" fontId="11" fillId="0" borderId="0" xfId="0" applyFont="1" applyAlignment="1">
      <alignment horizontal="center"/>
    </xf>
    <xf numFmtId="17" fontId="17" fillId="0" borderId="0" xfId="1" quotePrefix="1" applyNumberFormat="1" applyFont="1"/>
    <xf numFmtId="0" fontId="16" fillId="0" borderId="0" xfId="1" applyAlignment="1">
      <alignment horizontal="center"/>
    </xf>
    <xf numFmtId="0" fontId="16" fillId="0" borderId="0" xfId="1"/>
    <xf numFmtId="0" fontId="16" fillId="0" borderId="0" xfId="1" applyAlignment="1">
      <alignment wrapText="1"/>
    </xf>
    <xf numFmtId="0" fontId="16" fillId="0" borderId="0" xfId="1" applyAlignment="1">
      <alignment horizontal="left"/>
    </xf>
    <xf numFmtId="0" fontId="19" fillId="0" borderId="0" xfId="0" applyFont="1"/>
    <xf numFmtId="0" fontId="11" fillId="0" borderId="0" xfId="0" applyFont="1" applyAlignment="1">
      <alignment horizontal="left"/>
    </xf>
    <xf numFmtId="0" fontId="20" fillId="0" borderId="0" xfId="0" applyFont="1"/>
    <xf numFmtId="0" fontId="24" fillId="0" borderId="0" xfId="0" applyFont="1"/>
    <xf numFmtId="0" fontId="29" fillId="0" borderId="0" xfId="0" applyFont="1"/>
    <xf numFmtId="1" fontId="11" fillId="0" borderId="0" xfId="0" applyNumberFormat="1" applyFont="1"/>
    <xf numFmtId="0" fontId="21" fillId="0" borderId="0" xfId="0" applyFont="1"/>
    <xf numFmtId="0" fontId="25" fillId="0" borderId="0" xfId="0" applyFont="1"/>
    <xf numFmtId="0" fontId="26" fillId="0" borderId="0" xfId="0" applyFont="1"/>
    <xf numFmtId="0" fontId="12" fillId="0" borderId="0" xfId="0" applyFont="1"/>
    <xf numFmtId="0" fontId="29" fillId="0" borderId="13" xfId="0" applyFont="1" applyBorder="1"/>
    <xf numFmtId="49" fontId="16" fillId="0" borderId="0" xfId="1" applyNumberFormat="1" applyAlignment="1">
      <alignment horizontal="right"/>
    </xf>
    <xf numFmtId="49" fontId="11" fillId="0" borderId="0" xfId="0" applyNumberFormat="1" applyFont="1" applyAlignment="1">
      <alignment horizontal="right"/>
    </xf>
    <xf numFmtId="0" fontId="29" fillId="0" borderId="0" xfId="0" applyFont="1" applyAlignment="1">
      <alignment horizontal="left"/>
    </xf>
    <xf numFmtId="17" fontId="17" fillId="0" borderId="0" xfId="1" quotePrefix="1" applyNumberFormat="1" applyFont="1" applyAlignment="1">
      <alignment wrapText="1"/>
    </xf>
    <xf numFmtId="0" fontId="28" fillId="0" borderId="0" xfId="0" applyFont="1" applyAlignment="1">
      <alignment wrapText="1"/>
    </xf>
    <xf numFmtId="0" fontId="18" fillId="0" borderId="0" xfId="1" applyFont="1" applyAlignment="1">
      <alignment horizontal="left" vertical="top" wrapText="1"/>
    </xf>
    <xf numFmtId="0" fontId="0" fillId="0" borderId="0" xfId="0" applyAlignment="1">
      <alignment wrapText="1"/>
    </xf>
    <xf numFmtId="0" fontId="20" fillId="0" borderId="0" xfId="0" applyFont="1" applyAlignment="1">
      <alignment horizontal="left" wrapText="1"/>
    </xf>
    <xf numFmtId="0" fontId="20" fillId="0" borderId="0" xfId="1" applyFont="1" applyAlignment="1">
      <alignment horizontal="left"/>
    </xf>
    <xf numFmtId="0" fontId="20" fillId="0" borderId="0" xfId="0" applyFont="1" applyAlignment="1">
      <alignment horizontal="left"/>
    </xf>
    <xf numFmtId="0" fontId="33" fillId="0" borderId="0" xfId="0" applyFont="1" applyAlignment="1">
      <alignment horizontal="left"/>
    </xf>
    <xf numFmtId="0" fontId="33" fillId="0" borderId="5" xfId="1" applyFont="1" applyBorder="1" applyAlignment="1">
      <alignment horizontal="left" vertical="center"/>
    </xf>
    <xf numFmtId="0" fontId="33" fillId="0" borderId="5" xfId="1" applyFont="1" applyBorder="1" applyAlignment="1">
      <alignment horizontal="left" vertical="center" wrapText="1"/>
    </xf>
    <xf numFmtId="0" fontId="33" fillId="0" borderId="5" xfId="0" applyFont="1" applyBorder="1" applyAlignment="1">
      <alignment horizontal="left" vertical="center" wrapText="1"/>
    </xf>
    <xf numFmtId="0" fontId="33" fillId="0" borderId="5" xfId="0" applyFont="1" applyBorder="1" applyAlignment="1">
      <alignment horizontal="left" vertical="top" wrapText="1"/>
    </xf>
    <xf numFmtId="0" fontId="33" fillId="0" borderId="5" xfId="1" applyFont="1" applyBorder="1" applyAlignment="1">
      <alignment horizontal="left" vertical="top" wrapText="1"/>
    </xf>
    <xf numFmtId="0" fontId="33" fillId="0" borderId="5" xfId="0" quotePrefix="1" applyFont="1" applyBorder="1" applyAlignment="1">
      <alignment horizontal="left" vertical="top" wrapText="1"/>
    </xf>
    <xf numFmtId="0" fontId="33" fillId="0" borderId="7" xfId="0" applyFont="1" applyBorder="1" applyAlignment="1">
      <alignment horizontal="left"/>
    </xf>
    <xf numFmtId="0" fontId="33" fillId="0" borderId="0" xfId="0" quotePrefix="1" applyFont="1" applyAlignment="1">
      <alignment horizontal="left"/>
    </xf>
    <xf numFmtId="0" fontId="37" fillId="0" borderId="0" xfId="0" applyFont="1" applyAlignment="1">
      <alignment horizontal="left"/>
    </xf>
    <xf numFmtId="0" fontId="37" fillId="0" borderId="7" xfId="0" applyFont="1" applyBorder="1" applyAlignment="1">
      <alignment horizontal="left"/>
    </xf>
    <xf numFmtId="0" fontId="33" fillId="0" borderId="8" xfId="0" applyFont="1" applyBorder="1" applyAlignment="1">
      <alignment horizontal="left"/>
    </xf>
    <xf numFmtId="0" fontId="33" fillId="0" borderId="15" xfId="0" applyFont="1" applyBorder="1" applyAlignment="1">
      <alignment horizontal="left"/>
    </xf>
    <xf numFmtId="49" fontId="32" fillId="0" borderId="0" xfId="1" applyNumberFormat="1" applyFont="1"/>
    <xf numFmtId="0" fontId="16" fillId="0" borderId="0" xfId="1" applyAlignment="1">
      <alignment horizontal="center" vertical="center"/>
    </xf>
    <xf numFmtId="0" fontId="40" fillId="0" borderId="5" xfId="0" applyFont="1" applyBorder="1" applyAlignment="1">
      <alignment horizontal="left" vertical="center" wrapText="1"/>
    </xf>
    <xf numFmtId="0" fontId="7" fillId="0" borderId="0" xfId="8" applyAlignment="1">
      <alignment horizontal="center"/>
    </xf>
    <xf numFmtId="0" fontId="7" fillId="0" borderId="0" xfId="8"/>
    <xf numFmtId="0" fontId="7" fillId="0" borderId="0" xfId="8" applyAlignment="1">
      <alignment horizontal="left" vertical="center"/>
    </xf>
    <xf numFmtId="0" fontId="7" fillId="0" borderId="0" xfId="8" applyAlignment="1">
      <alignment horizontal="center" vertical="center"/>
    </xf>
    <xf numFmtId="0" fontId="20" fillId="0" borderId="0" xfId="8" applyFont="1" applyAlignment="1">
      <alignment horizontal="left" vertical="center" wrapText="1"/>
    </xf>
    <xf numFmtId="0" fontId="20" fillId="0" borderId="0" xfId="8" applyFont="1" applyAlignment="1">
      <alignment horizontal="left" vertical="center"/>
    </xf>
    <xf numFmtId="0" fontId="6" fillId="0" borderId="0" xfId="0" applyFont="1"/>
    <xf numFmtId="0" fontId="33" fillId="0" borderId="5" xfId="0" applyFont="1" applyBorder="1" applyAlignment="1">
      <alignment horizontal="center"/>
    </xf>
    <xf numFmtId="0" fontId="33" fillId="0" borderId="12" xfId="0" applyFont="1" applyBorder="1" applyAlignment="1">
      <alignment horizontal="center"/>
    </xf>
    <xf numFmtId="0" fontId="33" fillId="0" borderId="13" xfId="0" applyFont="1" applyBorder="1" applyAlignment="1">
      <alignment horizontal="center"/>
    </xf>
    <xf numFmtId="0" fontId="33" fillId="0" borderId="14" xfId="0" applyFont="1" applyBorder="1" applyAlignment="1">
      <alignment horizontal="center"/>
    </xf>
    <xf numFmtId="0" fontId="33" fillId="0" borderId="8" xfId="0" applyFont="1" applyBorder="1" applyAlignment="1">
      <alignment horizontal="center"/>
    </xf>
    <xf numFmtId="0" fontId="33" fillId="0" borderId="0" xfId="0" applyFont="1" applyAlignment="1">
      <alignment horizontal="center"/>
    </xf>
    <xf numFmtId="0" fontId="33" fillId="0" borderId="7" xfId="0" applyFont="1" applyBorder="1" applyAlignment="1">
      <alignment horizontal="center"/>
    </xf>
    <xf numFmtId="0" fontId="20" fillId="0" borderId="0" xfId="0" applyFont="1" applyAlignment="1">
      <alignment horizontal="center"/>
    </xf>
    <xf numFmtId="0" fontId="13" fillId="0" borderId="0" xfId="0" applyFont="1" applyAlignment="1">
      <alignment wrapText="1"/>
    </xf>
    <xf numFmtId="0" fontId="0" fillId="0" borderId="0" xfId="0" applyAlignment="1">
      <alignment horizontal="center"/>
    </xf>
    <xf numFmtId="0" fontId="0" fillId="0" borderId="0" xfId="0" applyAlignment="1">
      <alignment horizontal="left"/>
    </xf>
    <xf numFmtId="0" fontId="13" fillId="0" borderId="21" xfId="0" applyFont="1" applyBorder="1" applyAlignment="1">
      <alignment horizontal="center" wrapText="1"/>
    </xf>
    <xf numFmtId="0" fontId="43" fillId="3" borderId="28" xfId="0" applyFont="1" applyFill="1" applyBorder="1" applyAlignment="1">
      <alignment horizontal="left" vertical="center" wrapText="1"/>
    </xf>
    <xf numFmtId="0" fontId="20" fillId="0" borderId="0" xfId="0" applyFont="1" applyAlignment="1">
      <alignment wrapText="1"/>
    </xf>
    <xf numFmtId="11" fontId="0" fillId="0" borderId="0" xfId="0" applyNumberFormat="1" applyAlignment="1">
      <alignment horizontal="center"/>
    </xf>
    <xf numFmtId="0" fontId="0" fillId="0" borderId="0" xfId="0" applyAlignment="1">
      <alignment horizontal="center" vertical="center" wrapText="1"/>
    </xf>
    <xf numFmtId="0" fontId="31" fillId="0" borderId="0" xfId="0" applyFont="1" applyAlignment="1">
      <alignment horizontal="center"/>
    </xf>
    <xf numFmtId="0" fontId="48" fillId="0" borderId="0" xfId="0" applyFont="1"/>
    <xf numFmtId="0" fontId="48" fillId="0" borderId="0" xfId="0" applyFont="1" applyAlignment="1">
      <alignment horizontal="center"/>
    </xf>
    <xf numFmtId="0" fontId="5" fillId="0" borderId="0" xfId="0" applyFont="1"/>
    <xf numFmtId="0" fontId="48" fillId="0" borderId="0" xfId="8" applyFont="1"/>
    <xf numFmtId="0" fontId="45" fillId="3" borderId="6" xfId="8" applyFont="1" applyFill="1" applyBorder="1" applyAlignment="1">
      <alignment horizontal="left" vertical="center" wrapText="1"/>
    </xf>
    <xf numFmtId="0" fontId="45" fillId="3" borderId="2" xfId="8" applyFont="1" applyFill="1" applyBorder="1" applyAlignment="1">
      <alignment wrapText="1"/>
    </xf>
    <xf numFmtId="0" fontId="45" fillId="3" borderId="19" xfId="8" applyFont="1" applyFill="1" applyBorder="1" applyAlignment="1">
      <alignment wrapText="1"/>
    </xf>
    <xf numFmtId="0" fontId="43" fillId="0" borderId="0" xfId="8" applyFont="1" applyAlignment="1">
      <alignment wrapText="1"/>
    </xf>
    <xf numFmtId="0" fontId="45" fillId="3" borderId="6" xfId="0" applyFont="1" applyFill="1" applyBorder="1" applyAlignment="1">
      <alignment horizontal="left" vertical="center" wrapText="1"/>
    </xf>
    <xf numFmtId="0" fontId="33" fillId="3" borderId="2" xfId="0" applyFont="1" applyFill="1" applyBorder="1" applyAlignment="1">
      <alignment horizontal="center"/>
    </xf>
    <xf numFmtId="0" fontId="33" fillId="3" borderId="19" xfId="0" applyFont="1" applyFill="1" applyBorder="1" applyAlignment="1">
      <alignment horizontal="center"/>
    </xf>
    <xf numFmtId="0" fontId="45" fillId="3" borderId="2" xfId="0" applyFont="1" applyFill="1" applyBorder="1" applyAlignment="1">
      <alignment vertical="center" wrapText="1"/>
    </xf>
    <xf numFmtId="0" fontId="33" fillId="3" borderId="2" xfId="0" applyFont="1" applyFill="1" applyBorder="1" applyAlignment="1">
      <alignment horizontal="center" vertical="center"/>
    </xf>
    <xf numFmtId="0" fontId="45" fillId="3" borderId="6" xfId="0" applyFont="1" applyFill="1" applyBorder="1" applyAlignment="1">
      <alignment horizontal="left" vertical="center"/>
    </xf>
    <xf numFmtId="0" fontId="45" fillId="3" borderId="2" xfId="0" applyFont="1" applyFill="1" applyBorder="1" applyAlignment="1">
      <alignment vertical="center"/>
    </xf>
    <xf numFmtId="0" fontId="51" fillId="0" borderId="0" xfId="1" applyFont="1"/>
    <xf numFmtId="0" fontId="51" fillId="0" borderId="0" xfId="1" applyFont="1" applyAlignment="1">
      <alignment horizontal="center" vertical="center"/>
    </xf>
    <xf numFmtId="49" fontId="33" fillId="0" borderId="0" xfId="1" applyNumberFormat="1" applyFont="1" applyAlignment="1">
      <alignment horizontal="right" wrapText="1"/>
    </xf>
    <xf numFmtId="0" fontId="42" fillId="0" borderId="36" xfId="0" applyFont="1" applyBorder="1" applyAlignment="1">
      <alignment wrapText="1"/>
    </xf>
    <xf numFmtId="0" fontId="42" fillId="0" borderId="23" xfId="0" applyFont="1" applyBorder="1" applyAlignment="1">
      <alignment horizontal="center" wrapText="1"/>
    </xf>
    <xf numFmtId="0" fontId="42" fillId="0" borderId="37" xfId="0" applyFont="1" applyBorder="1" applyAlignment="1">
      <alignment horizontal="center" wrapText="1"/>
    </xf>
    <xf numFmtId="0" fontId="42" fillId="0" borderId="5" xfId="0" applyFont="1" applyBorder="1" applyAlignment="1">
      <alignment wrapText="1"/>
    </xf>
    <xf numFmtId="0" fontId="13" fillId="0" borderId="5" xfId="0" applyFont="1" applyBorder="1"/>
    <xf numFmtId="0" fontId="13" fillId="0" borderId="5" xfId="0" applyFont="1" applyBorder="1" applyAlignment="1">
      <alignment wrapText="1"/>
    </xf>
    <xf numFmtId="0" fontId="42" fillId="0" borderId="5" xfId="0" applyFont="1" applyBorder="1" applyAlignment="1">
      <alignment horizontal="center" wrapText="1"/>
    </xf>
    <xf numFmtId="0" fontId="34" fillId="0" borderId="5" xfId="0" applyFont="1" applyBorder="1" applyAlignment="1">
      <alignment horizontal="center" vertical="center"/>
    </xf>
    <xf numFmtId="0" fontId="45" fillId="3" borderId="19" xfId="0" applyFont="1" applyFill="1" applyBorder="1" applyAlignment="1">
      <alignment vertical="center" wrapText="1"/>
    </xf>
    <xf numFmtId="0" fontId="45" fillId="3" borderId="19" xfId="0" applyFont="1" applyFill="1" applyBorder="1" applyAlignment="1">
      <alignment vertical="center"/>
    </xf>
    <xf numFmtId="0" fontId="45" fillId="3" borderId="19" xfId="8" applyFont="1" applyFill="1" applyBorder="1" applyAlignment="1">
      <alignment horizontal="center" wrapText="1"/>
    </xf>
    <xf numFmtId="0" fontId="33" fillId="0" borderId="33" xfId="0" applyFont="1" applyBorder="1" applyAlignment="1">
      <alignment horizontal="center"/>
    </xf>
    <xf numFmtId="0" fontId="33" fillId="0" borderId="30" xfId="0" applyFont="1" applyBorder="1" applyAlignment="1">
      <alignment horizontal="center"/>
    </xf>
    <xf numFmtId="0" fontId="33" fillId="0" borderId="20" xfId="0" applyFont="1" applyBorder="1" applyAlignment="1">
      <alignment horizontal="center"/>
    </xf>
    <xf numFmtId="0" fontId="33" fillId="0" borderId="19" xfId="0" applyFont="1" applyBorder="1" applyAlignment="1">
      <alignment horizontal="center"/>
    </xf>
    <xf numFmtId="0" fontId="45" fillId="3" borderId="30" xfId="8" applyFont="1" applyFill="1" applyBorder="1" applyAlignment="1">
      <alignment wrapText="1"/>
    </xf>
    <xf numFmtId="0" fontId="33" fillId="0" borderId="3" xfId="8" applyFont="1" applyBorder="1" applyAlignment="1">
      <alignment horizontal="left" vertical="center" wrapText="1"/>
    </xf>
    <xf numFmtId="0" fontId="33" fillId="0" borderId="1" xfId="8" applyFont="1" applyBorder="1" applyAlignment="1">
      <alignment horizontal="center" vertical="center"/>
    </xf>
    <xf numFmtId="167" fontId="45" fillId="3" borderId="2" xfId="8" applyNumberFormat="1" applyFont="1" applyFill="1" applyBorder="1" applyAlignment="1">
      <alignment wrapText="1"/>
    </xf>
    <xf numFmtId="164" fontId="45" fillId="3" borderId="2" xfId="8" applyNumberFormat="1" applyFont="1" applyFill="1" applyBorder="1" applyAlignment="1">
      <alignment wrapText="1"/>
    </xf>
    <xf numFmtId="0" fontId="52" fillId="0" borderId="0" xfId="0" applyFont="1"/>
    <xf numFmtId="0" fontId="53" fillId="0" borderId="0" xfId="0" applyFont="1"/>
    <xf numFmtId="0" fontId="4" fillId="0" borderId="0" xfId="10"/>
    <xf numFmtId="0" fontId="4" fillId="0" borderId="0" xfId="10" applyAlignment="1">
      <alignment horizontal="left" vertical="center"/>
    </xf>
    <xf numFmtId="0" fontId="4" fillId="0" borderId="0" xfId="10" applyAlignment="1">
      <alignment horizontal="center" vertical="center" wrapText="1"/>
    </xf>
    <xf numFmtId="0" fontId="42" fillId="0" borderId="0" xfId="0" applyFont="1"/>
    <xf numFmtId="0" fontId="4" fillId="0" borderId="0" xfId="10" applyAlignment="1">
      <alignment horizontal="center"/>
    </xf>
    <xf numFmtId="0" fontId="4" fillId="0" borderId="0" xfId="10" applyAlignment="1">
      <alignment horizontal="center" vertical="center"/>
    </xf>
    <xf numFmtId="0" fontId="20" fillId="0" borderId="0" xfId="1" applyFont="1" applyAlignment="1">
      <alignment horizontal="center"/>
    </xf>
    <xf numFmtId="0" fontId="27" fillId="0" borderId="0" xfId="1" applyFont="1" applyAlignment="1">
      <alignment horizontal="left" vertical="center"/>
    </xf>
    <xf numFmtId="0" fontId="33" fillId="0" borderId="15" xfId="8" applyFont="1" applyBorder="1" applyAlignment="1">
      <alignment horizontal="left" vertical="center" wrapText="1"/>
    </xf>
    <xf numFmtId="0" fontId="33" fillId="0" borderId="15" xfId="8" applyFont="1" applyBorder="1" applyAlignment="1">
      <alignment horizontal="center" vertical="center"/>
    </xf>
    <xf numFmtId="0" fontId="33" fillId="0" borderId="18" xfId="0" applyFont="1" applyBorder="1" applyAlignment="1">
      <alignment horizontal="center"/>
    </xf>
    <xf numFmtId="0" fontId="33" fillId="0" borderId="32" xfId="0" applyFont="1" applyBorder="1" applyAlignment="1">
      <alignment horizontal="center"/>
    </xf>
    <xf numFmtId="0" fontId="33" fillId="0" borderId="31" xfId="0" applyFont="1" applyBorder="1" applyAlignment="1">
      <alignment horizontal="center"/>
    </xf>
    <xf numFmtId="0" fontId="33" fillId="0" borderId="45" xfId="8" applyFont="1" applyBorder="1" applyAlignment="1">
      <alignment horizontal="left" vertical="center" wrapText="1"/>
    </xf>
    <xf numFmtId="0" fontId="33" fillId="0" borderId="34" xfId="0" applyFont="1" applyBorder="1" applyAlignment="1">
      <alignment horizontal="center"/>
    </xf>
    <xf numFmtId="0" fontId="43" fillId="3" borderId="2" xfId="0" applyFont="1" applyFill="1" applyBorder="1" applyAlignment="1">
      <alignment vertical="center" wrapText="1"/>
    </xf>
    <xf numFmtId="0" fontId="43" fillId="3" borderId="19" xfId="0" applyFont="1" applyFill="1" applyBorder="1" applyAlignment="1">
      <alignment vertical="center" wrapText="1"/>
    </xf>
    <xf numFmtId="0" fontId="43" fillId="3" borderId="29" xfId="0" applyFont="1" applyFill="1" applyBorder="1" applyAlignment="1">
      <alignment horizontal="center" vertical="center" wrapText="1"/>
    </xf>
    <xf numFmtId="0" fontId="33" fillId="3" borderId="2" xfId="0" applyFont="1" applyFill="1" applyBorder="1" applyAlignment="1">
      <alignment horizontal="left"/>
    </xf>
    <xf numFmtId="0" fontId="45" fillId="3" borderId="2" xfId="0" applyFont="1" applyFill="1" applyBorder="1" applyAlignment="1">
      <alignment horizontal="center"/>
    </xf>
    <xf numFmtId="0" fontId="45" fillId="3" borderId="6" xfId="0" applyFont="1" applyFill="1" applyBorder="1" applyAlignment="1">
      <alignment horizontal="left"/>
    </xf>
    <xf numFmtId="0" fontId="33" fillId="0" borderId="15" xfId="0" applyFont="1" applyBorder="1" applyAlignment="1">
      <alignment horizontal="center"/>
    </xf>
    <xf numFmtId="0" fontId="33" fillId="3" borderId="38" xfId="0" applyFont="1" applyFill="1" applyBorder="1" applyAlignment="1">
      <alignment horizontal="left"/>
    </xf>
    <xf numFmtId="164" fontId="33" fillId="0" borderId="0" xfId="0" applyNumberFormat="1" applyFont="1" applyAlignment="1">
      <alignment horizontal="center" vertical="center"/>
    </xf>
    <xf numFmtId="0" fontId="33" fillId="0" borderId="0" xfId="0" applyFont="1" applyAlignment="1">
      <alignment horizontal="center" wrapText="1"/>
    </xf>
    <xf numFmtId="0" fontId="33" fillId="0" borderId="38" xfId="0" applyFont="1" applyBorder="1" applyAlignment="1">
      <alignment horizontal="center"/>
    </xf>
    <xf numFmtId="0" fontId="33" fillId="0" borderId="4" xfId="0" applyFont="1" applyBorder="1"/>
    <xf numFmtId="0" fontId="33" fillId="2" borderId="3" xfId="0" applyFont="1" applyFill="1" applyBorder="1"/>
    <xf numFmtId="0" fontId="33" fillId="0" borderId="1" xfId="0" applyFont="1" applyBorder="1" applyAlignment="1">
      <alignment horizontal="center"/>
    </xf>
    <xf numFmtId="164" fontId="33" fillId="0" borderId="1" xfId="0" applyNumberFormat="1" applyFont="1" applyBorder="1" applyAlignment="1">
      <alignment horizontal="center" vertical="center"/>
    </xf>
    <xf numFmtId="0" fontId="33" fillId="0" borderId="1" xfId="0" applyFont="1" applyBorder="1" applyAlignment="1">
      <alignment horizontal="center" wrapText="1"/>
    </xf>
    <xf numFmtId="164" fontId="33" fillId="0" borderId="15" xfId="0" applyNumberFormat="1" applyFont="1" applyBorder="1" applyAlignment="1">
      <alignment horizontal="center" vertical="center"/>
    </xf>
    <xf numFmtId="0" fontId="33" fillId="0" borderId="15" xfId="0" applyFont="1" applyBorder="1" applyAlignment="1">
      <alignment horizontal="center" wrapText="1"/>
    </xf>
    <xf numFmtId="0" fontId="33" fillId="0" borderId="45" xfId="0" applyFont="1" applyBorder="1"/>
    <xf numFmtId="0" fontId="45" fillId="3" borderId="0" xfId="0" applyFont="1" applyFill="1" applyAlignment="1">
      <alignment horizontal="center"/>
    </xf>
    <xf numFmtId="0" fontId="33" fillId="0" borderId="0" xfId="0" applyFont="1" applyAlignment="1">
      <alignment horizontal="center" vertical="center"/>
    </xf>
    <xf numFmtId="0" fontId="33" fillId="0" borderId="1" xfId="0" applyFont="1" applyBorder="1" applyAlignment="1">
      <alignment horizontal="center" vertical="center"/>
    </xf>
    <xf numFmtId="0" fontId="45" fillId="0" borderId="0" xfId="0" applyFont="1" applyAlignment="1">
      <alignment horizontal="center"/>
    </xf>
    <xf numFmtId="0" fontId="45" fillId="0" borderId="0" xfId="0" applyFont="1" applyAlignment="1">
      <alignment wrapText="1"/>
    </xf>
    <xf numFmtId="0" fontId="33" fillId="0" borderId="0" xfId="0" applyFont="1" applyAlignment="1">
      <alignment horizontal="center" vertical="center" wrapText="1"/>
    </xf>
    <xf numFmtId="0" fontId="33" fillId="0" borderId="8" xfId="0" applyFont="1" applyBorder="1" applyAlignment="1">
      <alignment horizontal="center" vertical="center" wrapText="1"/>
    </xf>
    <xf numFmtId="0" fontId="33" fillId="0" borderId="8" xfId="0" applyFont="1" applyBorder="1" applyAlignment="1">
      <alignment horizontal="center" vertical="center"/>
    </xf>
    <xf numFmtId="0" fontId="33" fillId="0" borderId="15" xfId="0" applyFont="1" applyBorder="1" applyAlignment="1">
      <alignment horizontal="center" vertical="center" wrapText="1"/>
    </xf>
    <xf numFmtId="0" fontId="33" fillId="0" borderId="15" xfId="0" applyFont="1" applyBorder="1" applyAlignment="1">
      <alignment horizontal="center" vertical="center"/>
    </xf>
    <xf numFmtId="0" fontId="33" fillId="0" borderId="16" xfId="0" applyFont="1" applyBorder="1" applyAlignment="1">
      <alignment horizontal="left" vertical="center" wrapText="1"/>
    </xf>
    <xf numFmtId="0" fontId="33" fillId="0" borderId="38" xfId="0" applyFont="1" applyBorder="1" applyAlignment="1">
      <alignment horizontal="center" vertical="center" wrapText="1"/>
    </xf>
    <xf numFmtId="0" fontId="33" fillId="0" borderId="38" xfId="0" applyFont="1" applyBorder="1" applyAlignment="1">
      <alignment horizontal="center" vertical="center"/>
    </xf>
    <xf numFmtId="0" fontId="33" fillId="0" borderId="45" xfId="0" applyFont="1" applyBorder="1" applyAlignment="1">
      <alignment horizontal="left" vertical="center" wrapText="1"/>
    </xf>
    <xf numFmtId="0" fontId="45" fillId="3" borderId="2" xfId="0" applyFont="1" applyFill="1" applyBorder="1" applyAlignment="1">
      <alignment horizontal="center" vertical="center" wrapText="1"/>
    </xf>
    <xf numFmtId="0" fontId="45" fillId="0" borderId="0" xfId="8" applyFont="1" applyAlignment="1">
      <alignment wrapText="1"/>
    </xf>
    <xf numFmtId="167" fontId="45" fillId="0" borderId="0" xfId="8" applyNumberFormat="1" applyFont="1" applyAlignment="1">
      <alignment wrapText="1"/>
    </xf>
    <xf numFmtId="164" fontId="45" fillId="0" borderId="0" xfId="8" applyNumberFormat="1" applyFont="1" applyAlignment="1">
      <alignment wrapText="1"/>
    </xf>
    <xf numFmtId="0" fontId="45" fillId="3" borderId="2" xfId="8" applyFont="1" applyFill="1" applyBorder="1" applyAlignment="1">
      <alignment horizontal="center" wrapText="1"/>
    </xf>
    <xf numFmtId="0" fontId="33" fillId="0" borderId="15" xfId="8" applyFont="1" applyBorder="1" applyAlignment="1">
      <alignment horizontal="center" vertical="center" wrapText="1"/>
    </xf>
    <xf numFmtId="0" fontId="45" fillId="0" borderId="15" xfId="8" applyFont="1" applyBorder="1" applyAlignment="1">
      <alignment wrapText="1"/>
    </xf>
    <xf numFmtId="0" fontId="45" fillId="3" borderId="2" xfId="8" applyFont="1" applyFill="1" applyBorder="1" applyAlignment="1">
      <alignment horizontal="center" vertical="center" wrapText="1"/>
    </xf>
    <xf numFmtId="0" fontId="33" fillId="2" borderId="4" xfId="0" applyFont="1" applyFill="1" applyBorder="1"/>
    <xf numFmtId="164" fontId="33" fillId="0" borderId="8" xfId="0" applyNumberFormat="1" applyFont="1" applyBorder="1" applyAlignment="1">
      <alignment horizontal="center" vertical="center"/>
    </xf>
    <xf numFmtId="0" fontId="33" fillId="2" borderId="47" xfId="0" applyFont="1" applyFill="1" applyBorder="1"/>
    <xf numFmtId="0" fontId="33" fillId="0" borderId="48" xfId="0" applyFont="1" applyBorder="1" applyAlignment="1">
      <alignment horizontal="center"/>
    </xf>
    <xf numFmtId="0" fontId="33" fillId="0" borderId="50" xfId="8" applyFont="1" applyBorder="1" applyAlignment="1">
      <alignment horizontal="left" vertical="center" wrapText="1"/>
    </xf>
    <xf numFmtId="0" fontId="33" fillId="0" borderId="51" xfId="8" applyFont="1" applyBorder="1" applyAlignment="1">
      <alignment horizontal="left" vertical="center" wrapText="1"/>
    </xf>
    <xf numFmtId="0" fontId="33" fillId="0" borderId="51" xfId="8" applyFont="1" applyBorder="1" applyAlignment="1">
      <alignment horizontal="center" vertical="center"/>
    </xf>
    <xf numFmtId="0" fontId="33" fillId="0" borderId="52" xfId="0" applyFont="1" applyBorder="1" applyAlignment="1">
      <alignment horizontal="center"/>
    </xf>
    <xf numFmtId="0" fontId="45" fillId="0" borderId="1" xfId="8" applyFont="1" applyBorder="1" applyAlignment="1">
      <alignment wrapText="1"/>
    </xf>
    <xf numFmtId="0" fontId="45" fillId="3" borderId="2" xfId="0" applyFont="1" applyFill="1" applyBorder="1" applyAlignment="1">
      <alignment horizontal="center" wrapText="1"/>
    </xf>
    <xf numFmtId="0" fontId="45" fillId="3" borderId="2" xfId="0" applyFont="1" applyFill="1" applyBorder="1" applyAlignment="1">
      <alignment horizontal="center" vertical="center"/>
    </xf>
    <xf numFmtId="0" fontId="33" fillId="0" borderId="38" xfId="0" applyFont="1" applyBorder="1" applyAlignment="1">
      <alignment horizontal="center" wrapText="1"/>
    </xf>
    <xf numFmtId="164" fontId="33" fillId="0" borderId="0" xfId="0" applyNumberFormat="1" applyFont="1" applyAlignment="1">
      <alignment horizontal="center"/>
    </xf>
    <xf numFmtId="0" fontId="33" fillId="0" borderId="2" xfId="0" applyFont="1" applyBorder="1" applyAlignment="1">
      <alignment horizontal="center" wrapText="1"/>
    </xf>
    <xf numFmtId="164" fontId="33" fillId="0" borderId="0" xfId="0" applyNumberFormat="1" applyFont="1" applyAlignment="1">
      <alignment horizontal="center" wrapText="1"/>
    </xf>
    <xf numFmtId="164" fontId="33" fillId="0" borderId="8" xfId="0" applyNumberFormat="1" applyFont="1" applyBorder="1" applyAlignment="1">
      <alignment horizontal="center"/>
    </xf>
    <xf numFmtId="0" fontId="33" fillId="0" borderId="7" xfId="0" applyFont="1" applyBorder="1" applyAlignment="1">
      <alignment horizontal="center" vertical="center" wrapText="1"/>
    </xf>
    <xf numFmtId="164" fontId="33" fillId="0" borderId="7" xfId="0" applyNumberFormat="1" applyFont="1" applyBorder="1" applyAlignment="1">
      <alignment horizontal="center"/>
    </xf>
    <xf numFmtId="164" fontId="33" fillId="0" borderId="7" xfId="9" applyNumberFormat="1" applyFont="1" applyBorder="1" applyAlignment="1">
      <alignment horizontal="center" wrapText="1"/>
    </xf>
    <xf numFmtId="164" fontId="33" fillId="0" borderId="15" xfId="0" applyNumberFormat="1" applyFont="1" applyBorder="1" applyAlignment="1">
      <alignment horizontal="center"/>
    </xf>
    <xf numFmtId="0" fontId="33" fillId="0" borderId="4" xfId="0" applyFont="1" applyBorder="1" applyAlignment="1">
      <alignment horizontal="left" vertical="center" wrapText="1"/>
    </xf>
    <xf numFmtId="0" fontId="33" fillId="0" borderId="3" xfId="0" applyFont="1" applyBorder="1" applyAlignment="1">
      <alignment horizontal="left" vertical="center" wrapText="1"/>
    </xf>
    <xf numFmtId="0" fontId="33" fillId="0" borderId="1" xfId="0" applyFont="1" applyBorder="1" applyAlignment="1">
      <alignment horizontal="center" vertical="center" wrapText="1"/>
    </xf>
    <xf numFmtId="0" fontId="33" fillId="0" borderId="48" xfId="0" applyFont="1" applyBorder="1" applyAlignment="1">
      <alignment horizontal="center" wrapText="1"/>
    </xf>
    <xf numFmtId="0" fontId="33" fillId="0" borderId="16" xfId="0" applyFont="1" applyBorder="1" applyAlignment="1">
      <alignment horizontal="left" vertical="center"/>
    </xf>
    <xf numFmtId="0" fontId="33" fillId="0" borderId="45" xfId="0" applyFont="1" applyBorder="1" applyAlignment="1">
      <alignment horizontal="left" vertical="center"/>
    </xf>
    <xf numFmtId="0" fontId="33" fillId="0" borderId="3" xfId="0" applyFont="1" applyBorder="1" applyAlignment="1">
      <alignment horizontal="left" vertical="center"/>
    </xf>
    <xf numFmtId="0" fontId="33" fillId="0" borderId="0" xfId="0" applyFont="1" applyAlignment="1">
      <alignment vertical="center" wrapText="1"/>
    </xf>
    <xf numFmtId="0" fontId="33" fillId="0" borderId="0" xfId="0" applyFont="1" applyAlignment="1">
      <alignment wrapText="1"/>
    </xf>
    <xf numFmtId="0" fontId="33" fillId="0" borderId="7" xfId="0" applyFont="1" applyBorder="1" applyAlignment="1">
      <alignment horizontal="center" wrapText="1"/>
    </xf>
    <xf numFmtId="167" fontId="45" fillId="3" borderId="19" xfId="8" applyNumberFormat="1" applyFont="1" applyFill="1" applyBorder="1" applyAlignment="1">
      <alignment wrapText="1"/>
    </xf>
    <xf numFmtId="0" fontId="30" fillId="3" borderId="2" xfId="0" applyFont="1" applyFill="1" applyBorder="1" applyAlignment="1">
      <alignment horizontal="center" wrapText="1"/>
    </xf>
    <xf numFmtId="0" fontId="50" fillId="3" borderId="2" xfId="1" applyFont="1" applyFill="1" applyBorder="1"/>
    <xf numFmtId="49" fontId="33" fillId="0" borderId="15" xfId="1" applyNumberFormat="1" applyFont="1" applyBorder="1" applyAlignment="1">
      <alignment horizontal="right"/>
    </xf>
    <xf numFmtId="0" fontId="33" fillId="0" borderId="8" xfId="0" applyFont="1" applyBorder="1" applyAlignment="1">
      <alignment horizontal="center" wrapText="1"/>
    </xf>
    <xf numFmtId="0" fontId="33" fillId="0" borderId="38" xfId="0" applyFont="1" applyBorder="1" applyAlignment="1">
      <alignment horizontal="left"/>
    </xf>
    <xf numFmtId="49" fontId="33" fillId="0" borderId="48" xfId="1" applyNumberFormat="1" applyFont="1" applyBorder="1" applyAlignment="1">
      <alignment horizontal="right"/>
    </xf>
    <xf numFmtId="0" fontId="33" fillId="0" borderId="48" xfId="0" applyFont="1" applyBorder="1" applyAlignment="1">
      <alignment horizontal="left"/>
    </xf>
    <xf numFmtId="0" fontId="30" fillId="3" borderId="6" xfId="0" applyFont="1" applyFill="1" applyBorder="1" applyAlignment="1">
      <alignment horizontal="left"/>
    </xf>
    <xf numFmtId="0" fontId="33" fillId="0" borderId="47" xfId="0" applyFont="1" applyBorder="1" applyAlignment="1">
      <alignment horizontal="left" vertical="center"/>
    </xf>
    <xf numFmtId="0" fontId="33" fillId="2" borderId="16" xfId="0" applyFont="1" applyFill="1" applyBorder="1" applyAlignment="1">
      <alignment horizontal="left" vertical="center"/>
    </xf>
    <xf numFmtId="0" fontId="33" fillId="2" borderId="45" xfId="0" applyFont="1" applyFill="1" applyBorder="1" applyAlignment="1">
      <alignment horizontal="left" vertical="center"/>
    </xf>
    <xf numFmtId="0" fontId="33" fillId="2" borderId="6" xfId="0" applyFont="1" applyFill="1" applyBorder="1" applyAlignment="1">
      <alignment horizontal="left" vertical="center"/>
    </xf>
    <xf numFmtId="49" fontId="33" fillId="0" borderId="1" xfId="1" applyNumberFormat="1" applyFont="1" applyBorder="1" applyAlignment="1">
      <alignment horizontal="right"/>
    </xf>
    <xf numFmtId="0" fontId="33" fillId="0" borderId="1" xfId="0" applyFont="1" applyBorder="1" applyAlignment="1">
      <alignment horizontal="left"/>
    </xf>
    <xf numFmtId="49" fontId="32" fillId="0" borderId="0" xfId="1" applyNumberFormat="1" applyFont="1" applyAlignment="1">
      <alignment horizontal="center"/>
    </xf>
    <xf numFmtId="0" fontId="50" fillId="3" borderId="19" xfId="1" applyFont="1" applyFill="1" applyBorder="1" applyAlignment="1">
      <alignment horizontal="center"/>
    </xf>
    <xf numFmtId="0" fontId="33" fillId="0" borderId="49" xfId="0" applyFont="1" applyBorder="1" applyAlignment="1">
      <alignment horizontal="center"/>
    </xf>
    <xf numFmtId="0" fontId="33" fillId="0" borderId="8" xfId="8" applyFont="1" applyBorder="1" applyAlignment="1">
      <alignment horizontal="center" vertical="center"/>
    </xf>
    <xf numFmtId="0" fontId="37" fillId="0" borderId="1" xfId="0" applyFont="1" applyBorder="1" applyAlignment="1">
      <alignment horizontal="left"/>
    </xf>
    <xf numFmtId="0" fontId="42" fillId="0" borderId="9" xfId="0" applyFont="1" applyBorder="1" applyAlignment="1">
      <alignment horizontal="center" wrapText="1"/>
    </xf>
    <xf numFmtId="0" fontId="42" fillId="0" borderId="0" xfId="0" applyFont="1" applyAlignment="1">
      <alignment horizontal="center" wrapText="1"/>
    </xf>
    <xf numFmtId="0" fontId="27" fillId="0" borderId="0" xfId="0" applyFont="1" applyAlignment="1">
      <alignment horizontal="left" wrapText="1"/>
    </xf>
    <xf numFmtId="0" fontId="27" fillId="0" borderId="13" xfId="0" applyFont="1" applyBorder="1" applyAlignment="1">
      <alignment horizontal="center" wrapText="1"/>
    </xf>
    <xf numFmtId="0" fontId="33" fillId="0" borderId="0" xfId="0" quotePrefix="1" applyFont="1" applyAlignment="1">
      <alignment horizontal="center"/>
    </xf>
    <xf numFmtId="0" fontId="11" fillId="0" borderId="0" xfId="0" applyFont="1" applyAlignment="1">
      <alignment horizontal="center" wrapText="1"/>
    </xf>
    <xf numFmtId="0" fontId="30" fillId="3" borderId="2" xfId="0" applyFont="1" applyFill="1" applyBorder="1" applyAlignment="1">
      <alignment horizontal="center"/>
    </xf>
    <xf numFmtId="0" fontId="33" fillId="3" borderId="38" xfId="0" applyFont="1" applyFill="1" applyBorder="1" applyAlignment="1">
      <alignment horizontal="center"/>
    </xf>
    <xf numFmtId="0" fontId="37" fillId="0" borderId="7" xfId="0" applyFont="1" applyBorder="1" applyAlignment="1">
      <alignment horizontal="center"/>
    </xf>
    <xf numFmtId="0" fontId="33" fillId="0" borderId="7" xfId="0" quotePrefix="1" applyFont="1" applyBorder="1" applyAlignment="1">
      <alignment horizontal="center"/>
    </xf>
    <xf numFmtId="0" fontId="33" fillId="0" borderId="53" xfId="0" applyFont="1" applyBorder="1" applyAlignment="1">
      <alignment horizontal="center"/>
    </xf>
    <xf numFmtId="0" fontId="33" fillId="0" borderId="41" xfId="0" applyFont="1" applyBorder="1" applyAlignment="1">
      <alignment horizontal="center"/>
    </xf>
    <xf numFmtId="0" fontId="33" fillId="0" borderId="54" xfId="0" applyFont="1" applyBorder="1" applyAlignment="1">
      <alignment horizontal="center"/>
    </xf>
    <xf numFmtId="0" fontId="29" fillId="0" borderId="0" xfId="1" applyFont="1"/>
    <xf numFmtId="11" fontId="33" fillId="0" borderId="15" xfId="8" applyNumberFormat="1" applyFont="1" applyBorder="1" applyAlignment="1">
      <alignment horizontal="center" wrapText="1"/>
    </xf>
    <xf numFmtId="0" fontId="33" fillId="0" borderId="15" xfId="8" applyFont="1" applyBorder="1" applyAlignment="1">
      <alignment horizontal="center" wrapText="1"/>
    </xf>
    <xf numFmtId="11" fontId="33" fillId="0" borderId="1" xfId="8" applyNumberFormat="1" applyFont="1" applyBorder="1" applyAlignment="1">
      <alignment horizontal="center" wrapText="1"/>
    </xf>
    <xf numFmtId="0" fontId="33" fillId="0" borderId="1" xfId="8" applyFont="1" applyBorder="1" applyAlignment="1">
      <alignment horizontal="center" wrapText="1"/>
    </xf>
    <xf numFmtId="0" fontId="33" fillId="0" borderId="52" xfId="0" applyFont="1" applyBorder="1" applyAlignment="1">
      <alignment horizontal="center" vertical="center"/>
    </xf>
    <xf numFmtId="0" fontId="33" fillId="0" borderId="34" xfId="0" applyFont="1" applyBorder="1" applyAlignment="1">
      <alignment horizontal="center" vertical="center"/>
    </xf>
    <xf numFmtId="0" fontId="33" fillId="0" borderId="43" xfId="0" applyFont="1" applyBorder="1" applyAlignment="1">
      <alignment horizontal="left" vertical="center" wrapText="1"/>
    </xf>
    <xf numFmtId="0" fontId="45" fillId="3" borderId="6" xfId="0" applyFont="1" applyFill="1" applyBorder="1"/>
    <xf numFmtId="0" fontId="33" fillId="0" borderId="16" xfId="0" applyFont="1" applyBorder="1"/>
    <xf numFmtId="0" fontId="33" fillId="0" borderId="7" xfId="0" applyFont="1" applyBorder="1" applyAlignment="1">
      <alignment horizontal="center" vertical="center"/>
    </xf>
    <xf numFmtId="0" fontId="33" fillId="0" borderId="1" xfId="8" applyFont="1" applyBorder="1" applyAlignment="1">
      <alignment horizontal="center" vertical="center" wrapText="1"/>
    </xf>
    <xf numFmtId="0" fontId="33" fillId="0" borderId="8" xfId="0" quotePrefix="1" applyFont="1" applyBorder="1" applyAlignment="1">
      <alignment horizontal="center" wrapText="1"/>
    </xf>
    <xf numFmtId="0" fontId="33" fillId="2" borderId="43" xfId="0" applyFont="1" applyFill="1" applyBorder="1"/>
    <xf numFmtId="0" fontId="33" fillId="0" borderId="4" xfId="0" applyFont="1" applyBorder="1" applyAlignment="1">
      <alignment horizontal="left" vertical="center"/>
    </xf>
    <xf numFmtId="0" fontId="33" fillId="0" borderId="43" xfId="8" applyFont="1" applyBorder="1" applyAlignment="1">
      <alignment horizontal="left" vertical="center" wrapText="1"/>
    </xf>
    <xf numFmtId="0" fontId="33" fillId="0" borderId="8" xfId="8" applyFont="1" applyBorder="1" applyAlignment="1">
      <alignment horizontal="center" vertical="center" wrapText="1"/>
    </xf>
    <xf numFmtId="0" fontId="33" fillId="0" borderId="44" xfId="0" applyFont="1" applyBorder="1" applyAlignment="1">
      <alignment horizontal="left" vertical="center" wrapText="1"/>
    </xf>
    <xf numFmtId="0" fontId="33" fillId="0" borderId="7" xfId="0" applyFont="1" applyBorder="1" applyAlignment="1">
      <alignment vertical="center" wrapText="1"/>
    </xf>
    <xf numFmtId="164" fontId="45" fillId="3" borderId="2" xfId="0" applyNumberFormat="1" applyFont="1" applyFill="1" applyBorder="1" applyAlignment="1">
      <alignment vertical="center"/>
    </xf>
    <xf numFmtId="164" fontId="45" fillId="3" borderId="2" xfId="0" applyNumberFormat="1" applyFont="1" applyFill="1" applyBorder="1" applyAlignment="1">
      <alignment vertical="center" wrapText="1"/>
    </xf>
    <xf numFmtId="0" fontId="55" fillId="0" borderId="0" xfId="0" applyFont="1" applyAlignment="1">
      <alignment horizontal="left"/>
    </xf>
    <xf numFmtId="0" fontId="42" fillId="0" borderId="21" xfId="8" applyFont="1" applyBorder="1" applyAlignment="1">
      <alignment horizontal="center" wrapText="1"/>
    </xf>
    <xf numFmtId="0" fontId="42" fillId="0" borderId="36" xfId="0" applyFont="1" applyBorder="1" applyAlignment="1">
      <alignment horizontal="left"/>
    </xf>
    <xf numFmtId="0" fontId="27" fillId="0" borderId="23" xfId="0" applyFont="1" applyBorder="1" applyAlignment="1">
      <alignment horizontal="center" wrapText="1"/>
    </xf>
    <xf numFmtId="0" fontId="27" fillId="0" borderId="37" xfId="0" applyFont="1" applyBorder="1" applyAlignment="1">
      <alignment horizontal="center" wrapText="1"/>
    </xf>
    <xf numFmtId="0" fontId="33" fillId="0" borderId="48" xfId="1" applyFont="1" applyBorder="1" applyAlignment="1">
      <alignment horizontal="center"/>
    </xf>
    <xf numFmtId="0" fontId="33" fillId="3" borderId="2" xfId="1" applyFont="1" applyFill="1" applyBorder="1" applyAlignment="1">
      <alignment horizontal="center"/>
    </xf>
    <xf numFmtId="0" fontId="33" fillId="0" borderId="38" xfId="1" applyFont="1" applyBorder="1" applyAlignment="1">
      <alignment horizontal="center"/>
    </xf>
    <xf numFmtId="0" fontId="33" fillId="0" borderId="0" xfId="1" applyFont="1" applyAlignment="1">
      <alignment horizontal="center"/>
    </xf>
    <xf numFmtId="0" fontId="33" fillId="0" borderId="7" xfId="1" applyFont="1" applyBorder="1" applyAlignment="1">
      <alignment horizontal="center"/>
    </xf>
    <xf numFmtId="0" fontId="33" fillId="0" borderId="15" xfId="1" applyFont="1" applyBorder="1" applyAlignment="1">
      <alignment horizontal="center"/>
    </xf>
    <xf numFmtId="0" fontId="33" fillId="0" borderId="1" xfId="1" applyFont="1" applyBorder="1" applyAlignment="1">
      <alignment horizontal="center"/>
    </xf>
    <xf numFmtId="0" fontId="33" fillId="0" borderId="2" xfId="1" applyFont="1" applyBorder="1" applyAlignment="1">
      <alignment horizontal="center"/>
    </xf>
    <xf numFmtId="0" fontId="27" fillId="0" borderId="0" xfId="1" applyFont="1" applyAlignment="1">
      <alignment horizontal="left" vertical="top"/>
    </xf>
    <xf numFmtId="49" fontId="20" fillId="0" borderId="0" xfId="1" applyNumberFormat="1" applyFont="1" applyAlignment="1">
      <alignment horizontal="right"/>
    </xf>
    <xf numFmtId="0" fontId="33" fillId="3" borderId="1" xfId="0" applyFont="1" applyFill="1" applyBorder="1" applyAlignment="1">
      <alignment horizontal="left"/>
    </xf>
    <xf numFmtId="0" fontId="33" fillId="3" borderId="1" xfId="0" applyFont="1" applyFill="1" applyBorder="1" applyAlignment="1">
      <alignment horizontal="center"/>
    </xf>
    <xf numFmtId="0" fontId="33" fillId="0" borderId="11" xfId="0" applyFont="1" applyBorder="1" applyAlignment="1">
      <alignment horizontal="center"/>
    </xf>
    <xf numFmtId="0" fontId="58" fillId="0" borderId="0" xfId="0" applyFont="1" applyAlignment="1">
      <alignment horizontal="left"/>
    </xf>
    <xf numFmtId="0" fontId="59" fillId="0" borderId="0" xfId="0" applyFont="1"/>
    <xf numFmtId="2" fontId="16" fillId="0" borderId="0" xfId="1" applyNumberFormat="1"/>
    <xf numFmtId="0" fontId="61" fillId="0" borderId="0" xfId="0" applyFont="1"/>
    <xf numFmtId="0" fontId="33" fillId="0" borderId="0" xfId="0" applyFont="1" applyAlignment="1">
      <alignment horizontal="left" vertical="center"/>
    </xf>
    <xf numFmtId="0" fontId="33" fillId="0" borderId="5" xfId="0" applyFont="1" applyBorder="1" applyAlignment="1">
      <alignment horizontal="center" vertical="center"/>
    </xf>
    <xf numFmtId="0" fontId="33" fillId="0" borderId="5" xfId="1" applyFont="1" applyBorder="1" applyAlignment="1">
      <alignment horizontal="center" vertical="center"/>
    </xf>
    <xf numFmtId="0" fontId="27" fillId="0" borderId="30" xfId="0" applyFont="1" applyBorder="1" applyAlignment="1">
      <alignment horizontal="center" wrapText="1"/>
    </xf>
    <xf numFmtId="164" fontId="45" fillId="3" borderId="2" xfId="0" applyNumberFormat="1" applyFont="1" applyFill="1" applyBorder="1" applyAlignment="1">
      <alignment horizontal="center" wrapText="1"/>
    </xf>
    <xf numFmtId="0" fontId="45" fillId="3" borderId="2" xfId="0" applyFont="1" applyFill="1" applyBorder="1" applyAlignment="1">
      <alignment wrapText="1"/>
    </xf>
    <xf numFmtId="0" fontId="45" fillId="3" borderId="19" xfId="0" applyFont="1" applyFill="1" applyBorder="1" applyAlignment="1">
      <alignment wrapText="1"/>
    </xf>
    <xf numFmtId="164" fontId="45" fillId="3" borderId="2" xfId="0" applyNumberFormat="1" applyFont="1" applyFill="1" applyBorder="1" applyAlignment="1">
      <alignment horizontal="center"/>
    </xf>
    <xf numFmtId="0" fontId="45" fillId="3" borderId="19" xfId="0" applyFont="1" applyFill="1" applyBorder="1" applyAlignment="1">
      <alignment horizontal="center"/>
    </xf>
    <xf numFmtId="164" fontId="33" fillId="3" borderId="2" xfId="0" applyNumberFormat="1" applyFont="1" applyFill="1" applyBorder="1" applyAlignment="1">
      <alignment horizontal="left"/>
    </xf>
    <xf numFmtId="0" fontId="33" fillId="3" borderId="19" xfId="0" applyFont="1" applyFill="1" applyBorder="1" applyAlignment="1">
      <alignment horizontal="left"/>
    </xf>
    <xf numFmtId="0" fontId="13" fillId="0" borderId="60" xfId="0" applyFont="1" applyBorder="1" applyAlignment="1">
      <alignment horizontal="center" wrapText="1"/>
    </xf>
    <xf numFmtId="164" fontId="33" fillId="0" borderId="1" xfId="0" applyNumberFormat="1" applyFont="1" applyBorder="1" applyAlignment="1">
      <alignment horizontal="center"/>
    </xf>
    <xf numFmtId="164" fontId="33" fillId="0" borderId="7" xfId="0" applyNumberFormat="1" applyFont="1" applyBorder="1" applyAlignment="1">
      <alignment horizontal="center" vertical="center" wrapText="1"/>
    </xf>
    <xf numFmtId="0" fontId="45" fillId="3" borderId="19" xfId="0" applyFont="1" applyFill="1" applyBorder="1" applyAlignment="1">
      <alignment horizontal="center" wrapText="1"/>
    </xf>
    <xf numFmtId="0" fontId="33" fillId="3" borderId="33" xfId="0" applyFont="1" applyFill="1" applyBorder="1" applyAlignment="1">
      <alignment horizontal="center"/>
    </xf>
    <xf numFmtId="0" fontId="33" fillId="3" borderId="20" xfId="0" applyFont="1" applyFill="1" applyBorder="1" applyAlignment="1">
      <alignment horizontal="center"/>
    </xf>
    <xf numFmtId="0" fontId="33" fillId="0" borderId="0" xfId="0" quotePrefix="1" applyFont="1" applyAlignment="1">
      <alignment horizontal="center" wrapText="1"/>
    </xf>
    <xf numFmtId="0" fontId="33" fillId="0" borderId="38" xfId="0" applyFont="1" applyBorder="1" applyAlignment="1">
      <alignment vertical="center" wrapText="1"/>
    </xf>
    <xf numFmtId="0" fontId="62" fillId="0" borderId="0" xfId="0" applyFont="1"/>
    <xf numFmtId="0" fontId="63" fillId="0" borderId="0" xfId="0" applyFont="1" applyAlignment="1">
      <alignment horizontal="center"/>
    </xf>
    <xf numFmtId="0" fontId="63" fillId="0" borderId="0" xfId="0" applyFont="1" applyAlignment="1">
      <alignment horizontal="left"/>
    </xf>
    <xf numFmtId="164" fontId="33" fillId="0" borderId="7" xfId="0" applyNumberFormat="1" applyFont="1" applyBorder="1" applyAlignment="1">
      <alignment horizontal="center" vertical="center"/>
    </xf>
    <xf numFmtId="0" fontId="33" fillId="0" borderId="44" xfId="0" applyFont="1" applyBorder="1"/>
    <xf numFmtId="0" fontId="33" fillId="0" borderId="51" xfId="0" applyFont="1" applyBorder="1" applyAlignment="1">
      <alignment horizontal="center"/>
    </xf>
    <xf numFmtId="0" fontId="33" fillId="0" borderId="51" xfId="0" applyFont="1" applyBorder="1" applyAlignment="1">
      <alignment horizontal="left"/>
    </xf>
    <xf numFmtId="0" fontId="21" fillId="0" borderId="0" xfId="1" applyFont="1"/>
    <xf numFmtId="0" fontId="33" fillId="0" borderId="48" xfId="0" applyFont="1" applyBorder="1" applyAlignment="1">
      <alignment horizontal="center" vertical="center"/>
    </xf>
    <xf numFmtId="164" fontId="33" fillId="0" borderId="48" xfId="0" applyNumberFormat="1" applyFont="1" applyBorder="1" applyAlignment="1">
      <alignment horizontal="center" vertical="center"/>
    </xf>
    <xf numFmtId="0" fontId="33" fillId="2" borderId="16" xfId="0" applyFont="1" applyFill="1" applyBorder="1"/>
    <xf numFmtId="0" fontId="45" fillId="3" borderId="16" xfId="0" applyFont="1" applyFill="1" applyBorder="1"/>
    <xf numFmtId="0" fontId="45" fillId="3" borderId="38" xfId="0" applyFont="1" applyFill="1" applyBorder="1" applyAlignment="1">
      <alignment horizontal="center"/>
    </xf>
    <xf numFmtId="0" fontId="33" fillId="3" borderId="38" xfId="0" applyFont="1" applyFill="1" applyBorder="1" applyAlignment="1">
      <alignment horizontal="center" vertical="center"/>
    </xf>
    <xf numFmtId="0" fontId="33" fillId="0" borderId="55" xfId="0" applyFont="1" applyBorder="1" applyAlignment="1">
      <alignment horizontal="center"/>
    </xf>
    <xf numFmtId="0" fontId="33" fillId="0" borderId="38" xfId="0" quotePrefix="1" applyFont="1" applyBorder="1" applyAlignment="1">
      <alignment horizontal="center"/>
    </xf>
    <xf numFmtId="0" fontId="33" fillId="0" borderId="9" xfId="0" applyFont="1" applyBorder="1" applyAlignment="1">
      <alignment horizontal="center"/>
    </xf>
    <xf numFmtId="0" fontId="33" fillId="0" borderId="10" xfId="0" applyFont="1" applyBorder="1" applyAlignment="1">
      <alignment horizontal="center"/>
    </xf>
    <xf numFmtId="0" fontId="38" fillId="0" borderId="7" xfId="0" applyFont="1" applyBorder="1" applyAlignment="1">
      <alignment horizontal="center"/>
    </xf>
    <xf numFmtId="0" fontId="37" fillId="0" borderId="31" xfId="0" applyFont="1" applyBorder="1" applyAlignment="1">
      <alignment horizontal="center"/>
    </xf>
    <xf numFmtId="0" fontId="33" fillId="0" borderId="42" xfId="0" applyFont="1" applyBorder="1" applyAlignment="1">
      <alignment horizontal="center"/>
    </xf>
    <xf numFmtId="0" fontId="33" fillId="0" borderId="17" xfId="0" applyFont="1" applyBorder="1" applyAlignment="1">
      <alignment horizontal="center"/>
    </xf>
    <xf numFmtId="0" fontId="33" fillId="0" borderId="56" xfId="0" applyFont="1" applyBorder="1" applyAlignment="1">
      <alignment horizontal="center"/>
    </xf>
    <xf numFmtId="0" fontId="37" fillId="0" borderId="30" xfId="0" applyFont="1" applyBorder="1" applyAlignment="1">
      <alignment horizontal="center"/>
    </xf>
    <xf numFmtId="0" fontId="33" fillId="0" borderId="8" xfId="0" quotePrefix="1" applyFont="1" applyBorder="1" applyAlignment="1">
      <alignment horizontal="center"/>
    </xf>
    <xf numFmtId="0" fontId="33" fillId="2" borderId="0" xfId="0" applyFont="1" applyFill="1" applyAlignment="1">
      <alignment horizontal="center"/>
    </xf>
    <xf numFmtId="0" fontId="33" fillId="2" borderId="8" xfId="0" applyFont="1" applyFill="1" applyBorder="1" applyAlignment="1">
      <alignment horizontal="center"/>
    </xf>
    <xf numFmtId="0" fontId="33" fillId="0" borderId="42" xfId="0" quotePrefix="1" applyFont="1" applyBorder="1" applyAlignment="1">
      <alignment horizontal="center"/>
    </xf>
    <xf numFmtId="0" fontId="33" fillId="0" borderId="1" xfId="0" quotePrefix="1" applyFont="1" applyBorder="1" applyAlignment="1">
      <alignment horizontal="center"/>
    </xf>
    <xf numFmtId="0" fontId="33" fillId="2" borderId="1" xfId="0" applyFont="1" applyFill="1" applyBorder="1" applyAlignment="1">
      <alignment horizontal="center"/>
    </xf>
    <xf numFmtId="0" fontId="33" fillId="0" borderId="42" xfId="0" applyFont="1" applyBorder="1" applyAlignment="1">
      <alignment horizontal="center" vertical="center"/>
    </xf>
    <xf numFmtId="0" fontId="33" fillId="2" borderId="45" xfId="0" applyFont="1" applyFill="1" applyBorder="1" applyAlignment="1">
      <alignment vertical="center"/>
    </xf>
    <xf numFmtId="164" fontId="33" fillId="0" borderId="38" xfId="0" applyNumberFormat="1" applyFont="1" applyBorder="1" applyAlignment="1">
      <alignment horizontal="center"/>
    </xf>
    <xf numFmtId="11" fontId="33" fillId="0" borderId="1" xfId="0" applyNumberFormat="1" applyFont="1" applyBorder="1" applyAlignment="1">
      <alignment horizontal="center"/>
    </xf>
    <xf numFmtId="168" fontId="33" fillId="0" borderId="7" xfId="0" applyNumberFormat="1" applyFont="1" applyBorder="1" applyAlignment="1">
      <alignment horizontal="center"/>
    </xf>
    <xf numFmtId="2" fontId="33" fillId="0" borderId="7" xfId="0" applyNumberFormat="1" applyFont="1" applyBorder="1" applyAlignment="1">
      <alignment horizontal="center"/>
    </xf>
    <xf numFmtId="11" fontId="33" fillId="0" borderId="7" xfId="0" applyNumberFormat="1" applyFont="1" applyBorder="1" applyAlignment="1">
      <alignment horizontal="center"/>
    </xf>
    <xf numFmtId="11" fontId="33" fillId="0" borderId="15" xfId="0" applyNumberFormat="1" applyFont="1" applyBorder="1" applyAlignment="1">
      <alignment horizontal="center"/>
    </xf>
    <xf numFmtId="0" fontId="33" fillId="3" borderId="2" xfId="0" applyFont="1" applyFill="1" applyBorder="1" applyAlignment="1">
      <alignment vertical="center" wrapText="1"/>
    </xf>
    <xf numFmtId="0" fontId="33" fillId="3" borderId="2" xfId="0" applyFont="1" applyFill="1" applyBorder="1" applyAlignment="1">
      <alignment vertical="center"/>
    </xf>
    <xf numFmtId="0" fontId="33" fillId="0" borderId="0" xfId="8" applyFont="1" applyAlignment="1">
      <alignment horizontal="center" vertical="center"/>
    </xf>
    <xf numFmtId="164" fontId="33" fillId="0" borderId="1" xfId="0" applyNumberFormat="1" applyFont="1" applyBorder="1" applyAlignment="1">
      <alignment horizontal="center" vertical="center" wrapText="1"/>
    </xf>
    <xf numFmtId="167" fontId="33" fillId="0" borderId="1" xfId="0" applyNumberFormat="1" applyFont="1" applyBorder="1" applyAlignment="1">
      <alignment horizontal="center" vertical="center" wrapText="1"/>
    </xf>
    <xf numFmtId="11" fontId="33" fillId="0" borderId="38" xfId="0" applyNumberFormat="1" applyFont="1" applyBorder="1" applyAlignment="1">
      <alignment horizontal="center"/>
    </xf>
    <xf numFmtId="2" fontId="33" fillId="0" borderId="0" xfId="8" applyNumberFormat="1" applyFont="1" applyAlignment="1">
      <alignment horizontal="center" vertical="center" wrapText="1"/>
    </xf>
    <xf numFmtId="0" fontId="33" fillId="2" borderId="4" xfId="0" applyFont="1" applyFill="1" applyBorder="1" applyAlignment="1">
      <alignment vertical="center"/>
    </xf>
    <xf numFmtId="164" fontId="33" fillId="0" borderId="7" xfId="0" applyNumberFormat="1" applyFont="1" applyBorder="1" applyAlignment="1">
      <alignment horizontal="center" wrapText="1"/>
    </xf>
    <xf numFmtId="164" fontId="33" fillId="0" borderId="0" xfId="0" quotePrefix="1" applyNumberFormat="1" applyFont="1" applyAlignment="1">
      <alignment horizontal="center" wrapText="1"/>
    </xf>
    <xf numFmtId="164" fontId="33" fillId="0" borderId="7" xfId="0" quotePrefix="1" applyNumberFormat="1" applyFont="1" applyBorder="1" applyAlignment="1">
      <alignment horizontal="center" wrapText="1"/>
    </xf>
    <xf numFmtId="164" fontId="33" fillId="0" borderId="1" xfId="0" quotePrefix="1" applyNumberFormat="1" applyFont="1" applyBorder="1" applyAlignment="1">
      <alignment horizontal="center" wrapText="1"/>
    </xf>
    <xf numFmtId="49" fontId="50" fillId="3" borderId="2" xfId="1" applyNumberFormat="1" applyFont="1" applyFill="1" applyBorder="1" applyAlignment="1">
      <alignment horizontal="right"/>
    </xf>
    <xf numFmtId="0" fontId="33" fillId="0" borderId="51" xfId="1" applyFont="1" applyBorder="1" applyAlignment="1">
      <alignment horizontal="center"/>
    </xf>
    <xf numFmtId="0" fontId="33" fillId="0" borderId="4" xfId="8" applyFont="1" applyBorder="1" applyAlignment="1">
      <alignment horizontal="left" vertical="center" wrapText="1"/>
    </xf>
    <xf numFmtId="11" fontId="33" fillId="0" borderId="7" xfId="0" applyNumberFormat="1" applyFont="1" applyBorder="1" applyAlignment="1">
      <alignment horizontal="center" vertical="center"/>
    </xf>
    <xf numFmtId="11" fontId="33" fillId="0" borderId="7" xfId="0" applyNumberFormat="1" applyFont="1" applyBorder="1" applyAlignment="1" applyProtection="1">
      <alignment horizontal="center"/>
      <protection locked="0"/>
    </xf>
    <xf numFmtId="11" fontId="31" fillId="0" borderId="0" xfId="0" applyNumberFormat="1" applyFont="1" applyAlignment="1">
      <alignment horizontal="center"/>
    </xf>
    <xf numFmtId="11" fontId="31" fillId="0" borderId="0" xfId="0" applyNumberFormat="1" applyFont="1" applyAlignment="1">
      <alignment horizontal="center" vertical="center" wrapText="1"/>
    </xf>
    <xf numFmtId="0" fontId="33" fillId="0" borderId="0" xfId="8" applyFont="1" applyAlignment="1">
      <alignment horizontal="center" vertical="center" wrapText="1"/>
    </xf>
    <xf numFmtId="168" fontId="33" fillId="0" borderId="0" xfId="0" applyNumberFormat="1" applyFont="1" applyAlignment="1">
      <alignment horizontal="center"/>
    </xf>
    <xf numFmtId="2" fontId="33" fillId="0" borderId="0" xfId="0" applyNumberFormat="1" applyFont="1" applyAlignment="1">
      <alignment horizontal="center"/>
    </xf>
    <xf numFmtId="0" fontId="3" fillId="0" borderId="0" xfId="8" applyFont="1"/>
    <xf numFmtId="164" fontId="33" fillId="0" borderId="0" xfId="9" applyNumberFormat="1" applyFont="1" applyAlignment="1">
      <alignment horizontal="center" wrapText="1"/>
    </xf>
    <xf numFmtId="2" fontId="33" fillId="0" borderId="0" xfId="0" applyNumberFormat="1" applyFont="1" applyAlignment="1">
      <alignment horizontal="center" wrapText="1"/>
    </xf>
    <xf numFmtId="11" fontId="33" fillId="0" borderId="0" xfId="0" applyNumberFormat="1" applyFont="1" applyAlignment="1">
      <alignment horizontal="center"/>
    </xf>
    <xf numFmtId="169" fontId="33" fillId="0" borderId="0" xfId="0" applyNumberFormat="1" applyFont="1" applyAlignment="1">
      <alignment horizontal="center"/>
    </xf>
    <xf numFmtId="2" fontId="33" fillId="0" borderId="0" xfId="0" applyNumberFormat="1" applyFont="1" applyAlignment="1">
      <alignment horizontal="center" vertical="center" wrapText="1"/>
    </xf>
    <xf numFmtId="2" fontId="33" fillId="0" borderId="7" xfId="0" applyNumberFormat="1" applyFont="1" applyBorder="1" applyAlignment="1">
      <alignment horizontal="center" vertical="center" wrapText="1"/>
    </xf>
    <xf numFmtId="0" fontId="45" fillId="3" borderId="0" xfId="8" applyFont="1" applyFill="1" applyAlignment="1">
      <alignment wrapText="1"/>
    </xf>
    <xf numFmtId="164" fontId="45" fillId="3" borderId="0" xfId="8" applyNumberFormat="1" applyFont="1" applyFill="1" applyAlignment="1">
      <alignment wrapText="1"/>
    </xf>
    <xf numFmtId="0" fontId="33" fillId="0" borderId="7" xfId="8" applyFont="1" applyBorder="1" applyAlignment="1">
      <alignment horizontal="center" wrapText="1"/>
    </xf>
    <xf numFmtId="0" fontId="33" fillId="0" borderId="7" xfId="8" applyFont="1" applyBorder="1" applyAlignment="1">
      <alignment wrapText="1"/>
    </xf>
    <xf numFmtId="0" fontId="45" fillId="3" borderId="4" xfId="0" applyFont="1" applyFill="1" applyBorder="1" applyAlignment="1">
      <alignment horizontal="left"/>
    </xf>
    <xf numFmtId="0" fontId="45" fillId="3" borderId="0" xfId="8" applyFont="1" applyFill="1" applyAlignment="1">
      <alignment horizontal="center" vertical="center" wrapText="1"/>
    </xf>
    <xf numFmtId="0" fontId="45" fillId="3" borderId="0" xfId="0" applyFont="1" applyFill="1" applyAlignment="1">
      <alignment horizontal="center" vertical="center" wrapText="1"/>
    </xf>
    <xf numFmtId="0" fontId="33" fillId="0" borderId="49" xfId="0" applyFont="1" applyBorder="1" applyAlignment="1">
      <alignment horizontal="center" vertical="center"/>
    </xf>
    <xf numFmtId="0" fontId="33" fillId="0" borderId="4" xfId="8" applyFont="1" applyBorder="1" applyAlignment="1">
      <alignment horizontal="left" vertical="center"/>
    </xf>
    <xf numFmtId="0" fontId="45" fillId="3" borderId="6" xfId="8" applyFont="1" applyFill="1" applyBorder="1" applyAlignment="1">
      <alignment horizontal="left" vertical="center"/>
    </xf>
    <xf numFmtId="0" fontId="45" fillId="3" borderId="2" xfId="8" applyFont="1" applyFill="1" applyBorder="1" applyAlignment="1">
      <alignment horizontal="center"/>
    </xf>
    <xf numFmtId="0" fontId="45" fillId="3" borderId="2" xfId="8" applyFont="1" applyFill="1" applyBorder="1"/>
    <xf numFmtId="164" fontId="45" fillId="3" borderId="2" xfId="8" applyNumberFormat="1" applyFont="1" applyFill="1" applyBorder="1"/>
    <xf numFmtId="0" fontId="45" fillId="3" borderId="19" xfId="8" applyFont="1" applyFill="1" applyBorder="1"/>
    <xf numFmtId="169" fontId="33" fillId="0" borderId="0" xfId="0" applyNumberFormat="1" applyFont="1" applyAlignment="1">
      <alignment horizontal="center" vertical="center" wrapText="1"/>
    </xf>
    <xf numFmtId="169" fontId="33" fillId="0" borderId="7" xfId="0" applyNumberFormat="1" applyFont="1" applyBorder="1" applyAlignment="1">
      <alignment horizontal="center" vertical="center"/>
    </xf>
    <xf numFmtId="0" fontId="33" fillId="0" borderId="7" xfId="0" applyFont="1" applyBorder="1" applyAlignment="1">
      <alignment horizontal="left" vertical="center"/>
    </xf>
    <xf numFmtId="11" fontId="33" fillId="0" borderId="0" xfId="0" applyNumberFormat="1" applyFont="1" applyAlignment="1" applyProtection="1">
      <alignment horizontal="center"/>
      <protection locked="0"/>
    </xf>
    <xf numFmtId="11" fontId="33" fillId="0" borderId="0" xfId="0" applyNumberFormat="1" applyFont="1" applyAlignment="1">
      <alignment horizontal="center" vertical="center"/>
    </xf>
    <xf numFmtId="1" fontId="33" fillId="0" borderId="0" xfId="0" applyNumberFormat="1" applyFont="1" applyAlignment="1">
      <alignment horizontal="center" wrapText="1"/>
    </xf>
    <xf numFmtId="168" fontId="33" fillId="0" borderId="0" xfId="0" applyNumberFormat="1" applyFont="1" applyAlignment="1">
      <alignment horizontal="center" wrapText="1"/>
    </xf>
    <xf numFmtId="0" fontId="33" fillId="0" borderId="0" xfId="8" applyFont="1" applyAlignment="1">
      <alignment horizontal="left" vertical="center" wrapText="1"/>
    </xf>
    <xf numFmtId="0" fontId="50" fillId="0" borderId="5" xfId="0" applyFont="1" applyBorder="1" applyAlignment="1">
      <alignment horizontal="left" vertical="center" wrapText="1"/>
    </xf>
    <xf numFmtId="0" fontId="13" fillId="0" borderId="0" xfId="0" applyFont="1" applyAlignment="1">
      <alignment horizontal="center"/>
    </xf>
    <xf numFmtId="0" fontId="50" fillId="0" borderId="5" xfId="0" applyFont="1" applyBorder="1" applyAlignment="1">
      <alignment wrapText="1"/>
    </xf>
    <xf numFmtId="0" fontId="33" fillId="2" borderId="4" xfId="0" applyFont="1" applyFill="1" applyBorder="1" applyAlignment="1">
      <alignment horizontal="left" vertical="center"/>
    </xf>
    <xf numFmtId="0" fontId="33" fillId="0" borderId="48" xfId="8" applyFont="1" applyBorder="1" applyAlignment="1">
      <alignment horizontal="center" vertical="center"/>
    </xf>
    <xf numFmtId="0" fontId="33" fillId="3" borderId="1" xfId="0" applyFont="1" applyFill="1" applyBorder="1" applyAlignment="1">
      <alignment horizontal="center" vertical="center"/>
    </xf>
    <xf numFmtId="0" fontId="50" fillId="0" borderId="5" xfId="0" applyFont="1" applyBorder="1" applyAlignment="1">
      <alignment vertical="center" wrapText="1"/>
    </xf>
    <xf numFmtId="0" fontId="33" fillId="0" borderId="7" xfId="0" applyFont="1" applyBorder="1" applyAlignment="1">
      <alignment horizontal="left" vertical="center" wrapText="1"/>
    </xf>
    <xf numFmtId="0" fontId="33" fillId="3" borderId="1" xfId="1" applyFont="1" applyFill="1" applyBorder="1" applyAlignment="1">
      <alignment horizontal="center"/>
    </xf>
    <xf numFmtId="49" fontId="33" fillId="0" borderId="7" xfId="1" applyNumberFormat="1" applyFont="1" applyBorder="1" applyAlignment="1">
      <alignment horizontal="right"/>
    </xf>
    <xf numFmtId="0" fontId="33" fillId="0" borderId="8" xfId="1" applyFont="1" applyBorder="1" applyAlignment="1">
      <alignment horizontal="center"/>
    </xf>
    <xf numFmtId="0" fontId="33" fillId="0" borderId="38" xfId="1" applyFont="1" applyBorder="1" applyAlignment="1">
      <alignment horizontal="center" wrapText="1"/>
    </xf>
    <xf numFmtId="0" fontId="33" fillId="0" borderId="0" xfId="1" applyFont="1" applyAlignment="1">
      <alignment horizontal="center" wrapText="1"/>
    </xf>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33" fillId="0" borderId="0" xfId="0" applyFont="1" applyAlignment="1">
      <alignment horizontal="left" vertical="center" wrapText="1"/>
    </xf>
    <xf numFmtId="0" fontId="67" fillId="0" borderId="7" xfId="0" applyFont="1" applyBorder="1"/>
    <xf numFmtId="0" fontId="0" fillId="0" borderId="0" xfId="0" applyAlignment="1">
      <alignment vertical="center"/>
    </xf>
    <xf numFmtId="0" fontId="11" fillId="4" borderId="0" xfId="0" applyFont="1" applyFill="1"/>
    <xf numFmtId="0" fontId="11" fillId="4" borderId="0" xfId="0" applyFont="1" applyFill="1" applyAlignment="1">
      <alignment horizontal="center"/>
    </xf>
    <xf numFmtId="0" fontId="33" fillId="0" borderId="15" xfId="0" applyFont="1" applyBorder="1" applyAlignment="1">
      <alignment horizontal="left" vertical="center" wrapText="1"/>
    </xf>
    <xf numFmtId="11" fontId="16" fillId="0" borderId="0" xfId="1" applyNumberFormat="1" applyAlignment="1">
      <alignment horizontal="center"/>
    </xf>
    <xf numFmtId="11" fontId="11" fillId="0" borderId="0" xfId="0" applyNumberFormat="1" applyFont="1" applyAlignment="1">
      <alignment horizontal="center"/>
    </xf>
    <xf numFmtId="11" fontId="33" fillId="3" borderId="2" xfId="0" applyNumberFormat="1" applyFont="1" applyFill="1" applyBorder="1" applyAlignment="1">
      <alignment horizontal="center"/>
    </xf>
    <xf numFmtId="11" fontId="45" fillId="3" borderId="2" xfId="8" applyNumberFormat="1" applyFont="1" applyFill="1" applyBorder="1" applyAlignment="1">
      <alignment wrapText="1"/>
    </xf>
    <xf numFmtId="11" fontId="16" fillId="0" borderId="0" xfId="1" applyNumberFormat="1"/>
    <xf numFmtId="0" fontId="67" fillId="0" borderId="0" xfId="0" applyFont="1"/>
    <xf numFmtId="0" fontId="13" fillId="0" borderId="63" xfId="0" applyFont="1" applyBorder="1" applyAlignment="1">
      <alignment horizontal="center" wrapText="1"/>
    </xf>
    <xf numFmtId="11" fontId="13" fillId="0" borderId="63" xfId="0" applyNumberFormat="1" applyFont="1" applyBorder="1" applyAlignment="1">
      <alignment horizontal="center" wrapText="1"/>
    </xf>
    <xf numFmtId="0" fontId="13" fillId="0" borderId="23" xfId="0" applyFont="1" applyBorder="1" applyAlignment="1">
      <alignment wrapText="1"/>
    </xf>
    <xf numFmtId="0" fontId="33" fillId="0" borderId="5" xfId="0" applyFont="1" applyBorder="1" applyAlignment="1">
      <alignment horizontal="left" vertical="center"/>
    </xf>
    <xf numFmtId="0" fontId="33" fillId="0" borderId="60" xfId="0" applyFont="1" applyBorder="1" applyAlignment="1">
      <alignment horizontal="left" vertical="top" wrapText="1"/>
    </xf>
    <xf numFmtId="0" fontId="33" fillId="0" borderId="7" xfId="0" applyFont="1" applyBorder="1" applyAlignment="1">
      <alignment horizontal="left" vertical="top" wrapText="1"/>
    </xf>
    <xf numFmtId="0" fontId="11" fillId="5" borderId="0" xfId="0" applyFont="1" applyFill="1"/>
    <xf numFmtId="0" fontId="11" fillId="5" borderId="0" xfId="0" applyFont="1" applyFill="1" applyAlignment="1">
      <alignment horizontal="center"/>
    </xf>
    <xf numFmtId="0" fontId="43" fillId="0" borderId="0" xfId="0" applyFont="1" applyAlignment="1">
      <alignment wrapText="1"/>
    </xf>
    <xf numFmtId="0" fontId="45" fillId="0" borderId="0" xfId="0" applyFont="1"/>
    <xf numFmtId="0" fontId="30" fillId="3" borderId="36" xfId="0" applyFont="1" applyFill="1" applyBorder="1"/>
    <xf numFmtId="0" fontId="45" fillId="3" borderId="2" xfId="0" applyFont="1" applyFill="1" applyBorder="1" applyAlignment="1">
      <alignment horizontal="left"/>
    </xf>
    <xf numFmtId="0" fontId="20" fillId="0" borderId="7" xfId="0" applyFont="1" applyBorder="1" applyAlignment="1">
      <alignment horizontal="center" wrapText="1"/>
    </xf>
    <xf numFmtId="0" fontId="20" fillId="0" borderId="51" xfId="0" applyFont="1" applyBorder="1" applyAlignment="1">
      <alignment horizontal="center" wrapText="1"/>
    </xf>
    <xf numFmtId="0" fontId="20" fillId="0" borderId="52" xfId="0" applyFont="1" applyBorder="1" applyAlignment="1">
      <alignment wrapText="1"/>
    </xf>
    <xf numFmtId="0" fontId="33" fillId="0" borderId="51" xfId="0" applyFont="1" applyBorder="1" applyAlignment="1">
      <alignment horizontal="center" wrapText="1"/>
    </xf>
    <xf numFmtId="164" fontId="33" fillId="0" borderId="51" xfId="0" applyNumberFormat="1" applyFont="1" applyBorder="1" applyAlignment="1">
      <alignment horizontal="center" wrapText="1"/>
    </xf>
    <xf numFmtId="164" fontId="33" fillId="0" borderId="15" xfId="0" applyNumberFormat="1" applyFont="1" applyBorder="1" applyAlignment="1">
      <alignment horizontal="center" wrapText="1"/>
    </xf>
    <xf numFmtId="164" fontId="33" fillId="0" borderId="51" xfId="0" applyNumberFormat="1" applyFont="1" applyBorder="1" applyAlignment="1">
      <alignment horizontal="left"/>
    </xf>
    <xf numFmtId="0" fontId="33" fillId="0" borderId="52" xfId="0" applyFont="1" applyBorder="1" applyAlignment="1">
      <alignment horizontal="left"/>
    </xf>
    <xf numFmtId="0" fontId="20" fillId="0" borderId="15" xfId="0" applyFont="1" applyBorder="1" applyAlignment="1">
      <alignment horizontal="center" wrapText="1"/>
    </xf>
    <xf numFmtId="0" fontId="33" fillId="0" borderId="52" xfId="0" applyFont="1" applyBorder="1" applyAlignment="1">
      <alignment horizontal="center" wrapText="1"/>
    </xf>
    <xf numFmtId="0" fontId="33" fillId="0" borderId="34" xfId="0" applyFont="1" applyBorder="1" applyAlignment="1">
      <alignment horizontal="center" wrapText="1"/>
    </xf>
    <xf numFmtId="164" fontId="33" fillId="0" borderId="0" xfId="0" applyNumberFormat="1" applyFont="1" applyAlignment="1">
      <alignment horizontal="left"/>
    </xf>
    <xf numFmtId="164" fontId="33" fillId="0" borderId="0" xfId="0" applyNumberFormat="1" applyFont="1" applyAlignment="1">
      <alignment horizontal="center" vertical="center" wrapText="1"/>
    </xf>
    <xf numFmtId="0" fontId="33" fillId="0" borderId="0" xfId="8" applyFont="1" applyAlignment="1">
      <alignment horizontal="center"/>
    </xf>
    <xf numFmtId="164" fontId="33" fillId="0" borderId="0" xfId="8" applyNumberFormat="1" applyFont="1" applyAlignment="1">
      <alignment horizontal="center" vertical="center" wrapText="1"/>
    </xf>
    <xf numFmtId="0" fontId="33" fillId="0" borderId="0" xfId="8" applyFont="1"/>
    <xf numFmtId="0" fontId="20" fillId="0" borderId="34" xfId="0" applyFont="1" applyBorder="1" applyAlignment="1">
      <alignment wrapText="1"/>
    </xf>
    <xf numFmtId="0" fontId="30" fillId="3" borderId="39" xfId="0" applyFont="1" applyFill="1" applyBorder="1" applyAlignment="1">
      <alignment horizontal="center"/>
    </xf>
    <xf numFmtId="0" fontId="39" fillId="0" borderId="0" xfId="0" applyFont="1"/>
    <xf numFmtId="0" fontId="39" fillId="0" borderId="0" xfId="0" applyFont="1" applyAlignment="1">
      <alignment horizontal="center"/>
    </xf>
    <xf numFmtId="0" fontId="43" fillId="3" borderId="6" xfId="0" applyFont="1" applyFill="1" applyBorder="1" applyAlignment="1">
      <alignment horizontal="left" vertical="center" wrapText="1"/>
    </xf>
    <xf numFmtId="0" fontId="43" fillId="3" borderId="2" xfId="0" applyFont="1" applyFill="1" applyBorder="1" applyAlignment="1">
      <alignment horizontal="center" wrapText="1"/>
    </xf>
    <xf numFmtId="0" fontId="43" fillId="3" borderId="2" xfId="0" applyFont="1" applyFill="1" applyBorder="1" applyAlignment="1">
      <alignment wrapText="1"/>
    </xf>
    <xf numFmtId="0" fontId="43" fillId="3" borderId="19" xfId="0" applyFont="1" applyFill="1" applyBorder="1" applyAlignment="1">
      <alignment wrapText="1"/>
    </xf>
    <xf numFmtId="0" fontId="45" fillId="3" borderId="6" xfId="0" applyFont="1" applyFill="1" applyBorder="1" applyAlignment="1">
      <alignment wrapText="1"/>
    </xf>
    <xf numFmtId="164" fontId="39" fillId="0" borderId="0" xfId="8" applyNumberFormat="1" applyFont="1" applyAlignment="1">
      <alignment horizontal="center" vertical="center" wrapText="1"/>
    </xf>
    <xf numFmtId="0" fontId="66" fillId="0" borderId="0" xfId="0" applyFont="1" applyAlignment="1">
      <alignment horizontal="left"/>
    </xf>
    <xf numFmtId="1" fontId="33" fillId="0" borderId="0" xfId="0" applyNumberFormat="1" applyFont="1" applyAlignment="1">
      <alignment horizontal="center"/>
    </xf>
    <xf numFmtId="11" fontId="33" fillId="0" borderId="0" xfId="0" applyNumberFormat="1" applyFont="1" applyAlignment="1">
      <alignment horizontal="center" wrapText="1"/>
    </xf>
    <xf numFmtId="11" fontId="33" fillId="0" borderId="7" xfId="0" applyNumberFormat="1" applyFont="1" applyBorder="1" applyAlignment="1">
      <alignment horizontal="center" wrapText="1"/>
    </xf>
    <xf numFmtId="2" fontId="33" fillId="0" borderId="0" xfId="0" applyNumberFormat="1" applyFont="1" applyAlignment="1" applyProtection="1">
      <alignment horizontal="center"/>
      <protection locked="0"/>
    </xf>
    <xf numFmtId="168" fontId="33" fillId="0" borderId="0" xfId="0" applyNumberFormat="1" applyFont="1" applyAlignment="1" applyProtection="1">
      <alignment horizontal="center"/>
      <protection locked="0"/>
    </xf>
    <xf numFmtId="0" fontId="39" fillId="0" borderId="30" xfId="0" applyFont="1" applyBorder="1" applyAlignment="1">
      <alignment horizontal="center"/>
    </xf>
    <xf numFmtId="164" fontId="39" fillId="0" borderId="0" xfId="0" applyNumberFormat="1" applyFont="1" applyAlignment="1">
      <alignment horizontal="center"/>
    </xf>
    <xf numFmtId="0" fontId="39" fillId="0" borderId="0" xfId="0" applyFont="1" applyAlignment="1">
      <alignment horizontal="left"/>
    </xf>
    <xf numFmtId="2" fontId="33" fillId="0" borderId="7" xfId="0" applyNumberFormat="1" applyFont="1" applyBorder="1" applyAlignment="1">
      <alignment horizontal="center" wrapText="1"/>
    </xf>
    <xf numFmtId="11" fontId="33" fillId="0" borderId="0" xfId="0" applyNumberFormat="1" applyFont="1" applyAlignment="1">
      <alignment horizontal="center" vertical="center" wrapText="1"/>
    </xf>
    <xf numFmtId="49" fontId="33" fillId="0" borderId="9" xfId="0" applyNumberFormat="1" applyFont="1" applyBorder="1" applyAlignment="1">
      <alignment horizontal="center"/>
    </xf>
    <xf numFmtId="0" fontId="33" fillId="0" borderId="11" xfId="0" quotePrefix="1" applyFont="1" applyBorder="1" applyAlignment="1">
      <alignment horizontal="center"/>
    </xf>
    <xf numFmtId="0" fontId="33" fillId="0" borderId="9" xfId="0" quotePrefix="1" applyFont="1" applyBorder="1" applyAlignment="1">
      <alignment horizontal="center"/>
    </xf>
    <xf numFmtId="0" fontId="38" fillId="0" borderId="11" xfId="0" applyFont="1" applyBorder="1" applyAlignment="1">
      <alignment horizontal="center"/>
    </xf>
    <xf numFmtId="0" fontId="33" fillId="0" borderId="10" xfId="0" quotePrefix="1" applyFont="1" applyBorder="1" applyAlignment="1">
      <alignment horizontal="center"/>
    </xf>
    <xf numFmtId="0" fontId="39" fillId="0" borderId="0" xfId="8" applyFont="1"/>
    <xf numFmtId="0" fontId="39" fillId="0" borderId="0" xfId="8" applyFont="1" applyAlignment="1">
      <alignment horizontal="center" vertical="center" wrapText="1"/>
    </xf>
    <xf numFmtId="0" fontId="69" fillId="0" borderId="0" xfId="8" applyFont="1" applyAlignment="1">
      <alignment horizontal="center" vertical="center" wrapText="1"/>
    </xf>
    <xf numFmtId="0" fontId="33" fillId="0" borderId="7" xfId="1" applyFont="1" applyBorder="1" applyAlignment="1">
      <alignment horizontal="left" vertical="center"/>
    </xf>
    <xf numFmtId="0" fontId="71" fillId="0" borderId="0" xfId="0" applyFont="1"/>
    <xf numFmtId="0" fontId="33" fillId="0" borderId="51" xfId="0" applyFont="1" applyBorder="1" applyAlignment="1">
      <alignment horizontal="center" vertical="center"/>
    </xf>
    <xf numFmtId="0" fontId="33" fillId="0" borderId="4" xfId="0" applyFont="1" applyBorder="1" applyAlignment="1">
      <alignment vertical="center" wrapText="1"/>
    </xf>
    <xf numFmtId="0" fontId="33" fillId="4" borderId="15" xfId="0" applyFont="1" applyFill="1" applyBorder="1" applyAlignment="1">
      <alignment horizontal="center" vertical="center"/>
    </xf>
    <xf numFmtId="164" fontId="33" fillId="0" borderId="7" xfId="8" applyNumberFormat="1" applyFont="1" applyBorder="1" applyAlignment="1">
      <alignment horizontal="center" vertical="center" wrapText="1"/>
    </xf>
    <xf numFmtId="0" fontId="0" fillId="0" borderId="7" xfId="0" applyBorder="1"/>
    <xf numFmtId="0" fontId="33" fillId="0" borderId="60" xfId="0" applyFont="1" applyBorder="1" applyAlignment="1">
      <alignment horizontal="left" vertical="center" wrapText="1"/>
    </xf>
    <xf numFmtId="0" fontId="71" fillId="0" borderId="7" xfId="0" applyFont="1" applyBorder="1" applyAlignment="1">
      <alignment vertical="center"/>
    </xf>
    <xf numFmtId="0" fontId="2" fillId="0" borderId="0" xfId="0" applyFont="1" applyAlignment="1">
      <alignment vertical="center"/>
    </xf>
    <xf numFmtId="0" fontId="33" fillId="0" borderId="13" xfId="0" applyFont="1" applyBorder="1" applyAlignment="1">
      <alignment horizontal="center" vertical="center"/>
    </xf>
    <xf numFmtId="0" fontId="74" fillId="0" borderId="0" xfId="11"/>
    <xf numFmtId="0" fontId="20" fillId="0" borderId="8" xfId="0" applyFont="1" applyBorder="1" applyAlignment="1">
      <alignment horizontal="center" wrapText="1"/>
    </xf>
    <xf numFmtId="0" fontId="33" fillId="0" borderId="17" xfId="0" applyFont="1" applyBorder="1" applyAlignment="1">
      <alignment horizontal="center" vertical="center"/>
    </xf>
    <xf numFmtId="0" fontId="33" fillId="0" borderId="15" xfId="0" applyFont="1" applyBorder="1" applyAlignment="1">
      <alignment horizontal="left" vertical="center"/>
    </xf>
    <xf numFmtId="0" fontId="33" fillId="0" borderId="18" xfId="0" applyFont="1" applyBorder="1" applyAlignment="1">
      <alignment horizontal="center" vertical="center"/>
    </xf>
    <xf numFmtId="0" fontId="33" fillId="0" borderId="1" xfId="0" applyFont="1" applyBorder="1" applyAlignment="1">
      <alignment horizontal="left" vertical="center"/>
    </xf>
    <xf numFmtId="0" fontId="33" fillId="0" borderId="20" xfId="0" applyFont="1" applyBorder="1" applyAlignment="1">
      <alignment horizontal="center" vertical="center"/>
    </xf>
    <xf numFmtId="0" fontId="45" fillId="3" borderId="16" xfId="0" applyFont="1" applyFill="1" applyBorder="1" applyAlignment="1">
      <alignment horizontal="left" vertical="center" wrapText="1"/>
    </xf>
    <xf numFmtId="0" fontId="45" fillId="3" borderId="38" xfId="0" applyFont="1" applyFill="1" applyBorder="1" applyAlignment="1">
      <alignment horizontal="center" vertical="center" wrapText="1"/>
    </xf>
    <xf numFmtId="0" fontId="45" fillId="3" borderId="38" xfId="0" applyFont="1" applyFill="1" applyBorder="1" applyAlignment="1">
      <alignment vertical="center" wrapText="1"/>
    </xf>
    <xf numFmtId="0" fontId="33" fillId="3" borderId="38" xfId="0" applyFont="1" applyFill="1" applyBorder="1" applyAlignment="1">
      <alignment vertical="center" wrapText="1"/>
    </xf>
    <xf numFmtId="164" fontId="45" fillId="3" borderId="38" xfId="0" applyNumberFormat="1" applyFont="1" applyFill="1" applyBorder="1" applyAlignment="1">
      <alignment vertical="center" wrapText="1"/>
    </xf>
    <xf numFmtId="0" fontId="45" fillId="3" borderId="33" xfId="0" applyFont="1" applyFill="1" applyBorder="1" applyAlignment="1">
      <alignment vertical="center" wrapText="1"/>
    </xf>
    <xf numFmtId="0" fontId="33" fillId="0" borderId="45" xfId="0" applyFont="1" applyBorder="1" applyAlignment="1">
      <alignment horizontal="left" wrapText="1"/>
    </xf>
    <xf numFmtId="0" fontId="33" fillId="0" borderId="3" xfId="0" applyFont="1" applyBorder="1" applyAlignment="1">
      <alignment horizontal="left" wrapText="1"/>
    </xf>
    <xf numFmtId="0" fontId="33" fillId="0" borderId="8" xfId="8" applyFont="1" applyBorder="1" applyAlignment="1">
      <alignment horizontal="center"/>
    </xf>
    <xf numFmtId="0" fontId="33" fillId="0" borderId="2" xfId="0" applyFont="1" applyBorder="1" applyAlignment="1">
      <alignment horizontal="center"/>
    </xf>
    <xf numFmtId="164" fontId="33" fillId="0" borderId="2" xfId="0" applyNumberFormat="1" applyFont="1" applyBorder="1" applyAlignment="1">
      <alignment horizontal="center"/>
    </xf>
    <xf numFmtId="0" fontId="38" fillId="0" borderId="0" xfId="0" applyFont="1" applyAlignment="1">
      <alignment horizontal="center"/>
    </xf>
    <xf numFmtId="0" fontId="70" fillId="0" borderId="0" xfId="0" applyFont="1"/>
    <xf numFmtId="49" fontId="33" fillId="0" borderId="0" xfId="0" applyNumberFormat="1" applyFont="1" applyAlignment="1">
      <alignment horizontal="center" wrapText="1"/>
    </xf>
    <xf numFmtId="2" fontId="33" fillId="0" borderId="0" xfId="0" quotePrefix="1" applyNumberFormat="1" applyFont="1" applyAlignment="1">
      <alignment horizontal="center" wrapText="1"/>
    </xf>
    <xf numFmtId="49" fontId="33" fillId="0" borderId="0" xfId="0" quotePrefix="1" applyNumberFormat="1" applyFont="1" applyAlignment="1">
      <alignment horizontal="center" wrapText="1"/>
    </xf>
    <xf numFmtId="0" fontId="20" fillId="0" borderId="31" xfId="0" applyFont="1" applyBorder="1" applyAlignment="1">
      <alignment horizontal="center" wrapText="1"/>
    </xf>
    <xf numFmtId="0" fontId="72" fillId="0" borderId="0" xfId="0" applyFont="1"/>
    <xf numFmtId="0" fontId="75" fillId="2" borderId="0" xfId="12" applyFont="1" applyFill="1"/>
    <xf numFmtId="0" fontId="2" fillId="2" borderId="0" xfId="12" applyFill="1"/>
    <xf numFmtId="0" fontId="48" fillId="2" borderId="0" xfId="12" applyFont="1" applyFill="1" applyAlignment="1">
      <alignment horizontal="left" wrapText="1"/>
    </xf>
    <xf numFmtId="0" fontId="76" fillId="2" borderId="0" xfId="13" applyFill="1" applyAlignment="1">
      <alignment horizontal="left"/>
    </xf>
    <xf numFmtId="0" fontId="79" fillId="2" borderId="0" xfId="12" applyFont="1" applyFill="1"/>
    <xf numFmtId="0" fontId="81" fillId="2" borderId="0" xfId="13" applyFont="1" applyFill="1"/>
    <xf numFmtId="0" fontId="48" fillId="2" borderId="0" xfId="12" applyFont="1" applyFill="1"/>
    <xf numFmtId="0" fontId="76" fillId="2" borderId="0" xfId="13" applyFill="1"/>
    <xf numFmtId="0" fontId="82" fillId="2" borderId="0" xfId="12" applyFont="1" applyFill="1"/>
    <xf numFmtId="0" fontId="38" fillId="0" borderId="9" xfId="0" applyFont="1" applyBorder="1" applyAlignment="1">
      <alignment horizontal="center"/>
    </xf>
    <xf numFmtId="0" fontId="0" fillId="5" borderId="0" xfId="0" applyFill="1"/>
    <xf numFmtId="0" fontId="38" fillId="0" borderId="7" xfId="1" applyFont="1" applyBorder="1" applyAlignment="1">
      <alignment horizontal="left" vertical="center" wrapText="1"/>
    </xf>
    <xf numFmtId="0" fontId="38" fillId="0" borderId="5" xfId="0" applyFont="1" applyBorder="1" applyAlignment="1">
      <alignment horizontal="left" vertical="center" wrapText="1"/>
    </xf>
    <xf numFmtId="0" fontId="38" fillId="0" borderId="5" xfId="1" applyFont="1" applyBorder="1" applyAlignment="1">
      <alignment horizontal="left" vertical="top" wrapText="1"/>
    </xf>
    <xf numFmtId="0" fontId="38" fillId="0" borderId="7" xfId="0" applyFont="1" applyBorder="1" applyAlignment="1">
      <alignment horizontal="left" vertical="top" wrapText="1"/>
    </xf>
    <xf numFmtId="0" fontId="38" fillId="0" borderId="5" xfId="0" applyFont="1" applyBorder="1" applyAlignment="1">
      <alignment horizontal="center"/>
    </xf>
    <xf numFmtId="0" fontId="8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wrapText="1"/>
    </xf>
    <xf numFmtId="0" fontId="50" fillId="0" borderId="5" xfId="1" applyFont="1" applyBorder="1" applyAlignment="1">
      <alignment horizontal="left" vertical="top" wrapText="1"/>
    </xf>
    <xf numFmtId="0" fontId="50" fillId="0" borderId="5" xfId="0" applyFont="1" applyBorder="1" applyAlignment="1">
      <alignment horizontal="left" vertical="top" wrapText="1"/>
    </xf>
    <xf numFmtId="0" fontId="84" fillId="0" borderId="0" xfId="0" applyFont="1"/>
    <xf numFmtId="0" fontId="33" fillId="0" borderId="51" xfId="0" applyFont="1" applyBorder="1" applyAlignment="1">
      <alignment horizontal="center" vertical="center" wrapText="1"/>
    </xf>
    <xf numFmtId="0" fontId="45" fillId="0" borderId="51" xfId="8" applyFont="1" applyBorder="1" applyAlignment="1">
      <alignment wrapText="1"/>
    </xf>
    <xf numFmtId="2" fontId="33" fillId="0" borderId="7" xfId="0" quotePrefix="1" applyNumberFormat="1" applyFont="1" applyBorder="1" applyAlignment="1">
      <alignment horizontal="center" wrapText="1"/>
    </xf>
    <xf numFmtId="164" fontId="33" fillId="0" borderId="15" xfId="8"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0" xfId="1" applyFont="1" applyAlignment="1">
      <alignment horizontal="left" wrapText="1"/>
    </xf>
    <xf numFmtId="0" fontId="1" fillId="0" borderId="0" xfId="1" applyFont="1" applyAlignment="1">
      <alignment wrapText="1"/>
    </xf>
    <xf numFmtId="0" fontId="1" fillId="3" borderId="2" xfId="0" applyFont="1" applyFill="1" applyBorder="1" applyAlignment="1">
      <alignment horizontal="center"/>
    </xf>
    <xf numFmtId="0" fontId="1" fillId="0" borderId="0" xfId="0" applyFont="1" applyAlignment="1">
      <alignment horizontal="center"/>
    </xf>
    <xf numFmtId="164" fontId="1" fillId="0" borderId="0" xfId="8" applyNumberFormat="1" applyFont="1" applyAlignment="1">
      <alignment horizontal="center" vertical="center" wrapText="1"/>
    </xf>
    <xf numFmtId="0" fontId="1" fillId="0" borderId="0" xfId="0" applyFont="1"/>
    <xf numFmtId="164" fontId="1" fillId="0" borderId="7" xfId="8" applyNumberFormat="1" applyFont="1" applyBorder="1" applyAlignment="1">
      <alignment horizontal="center" vertical="center" wrapText="1"/>
    </xf>
    <xf numFmtId="0" fontId="1" fillId="0" borderId="0" xfId="0" applyFont="1" applyAlignment="1">
      <alignment vertical="center"/>
    </xf>
    <xf numFmtId="0" fontId="1" fillId="0" borderId="7" xfId="0" applyFont="1" applyBorder="1" applyAlignment="1">
      <alignment vertical="center"/>
    </xf>
    <xf numFmtId="164" fontId="1" fillId="0" borderId="1" xfId="8" applyNumberFormat="1" applyFont="1" applyBorder="1" applyAlignment="1">
      <alignment horizontal="center" vertical="center" wrapText="1"/>
    </xf>
    <xf numFmtId="164" fontId="1" fillId="3" borderId="2" xfId="8" applyNumberFormat="1" applyFont="1" applyFill="1" applyBorder="1" applyAlignment="1">
      <alignment horizontal="center" vertical="center" wrapText="1"/>
    </xf>
    <xf numFmtId="164" fontId="1" fillId="0" borderId="8" xfId="8" applyNumberFormat="1" applyFont="1" applyBorder="1" applyAlignment="1">
      <alignment horizontal="center" vertical="center" wrapText="1"/>
    </xf>
    <xf numFmtId="0" fontId="1" fillId="0" borderId="0" xfId="0" applyFont="1" applyAlignment="1">
      <alignment horizontal="left"/>
    </xf>
    <xf numFmtId="164" fontId="1" fillId="0" borderId="15" xfId="8" applyNumberFormat="1" applyFont="1" applyBorder="1" applyAlignment="1">
      <alignment horizontal="center" vertical="center" wrapText="1"/>
    </xf>
    <xf numFmtId="0" fontId="1" fillId="0" borderId="0" xfId="8" applyFont="1" applyAlignment="1">
      <alignment horizontal="left" vertical="center"/>
    </xf>
    <xf numFmtId="0" fontId="1" fillId="0" borderId="0" xfId="8" applyFont="1"/>
    <xf numFmtId="0" fontId="1" fillId="0" borderId="0" xfId="8" applyFont="1" applyAlignment="1">
      <alignment horizontal="center" vertical="center" wrapText="1"/>
    </xf>
    <xf numFmtId="0" fontId="1" fillId="0" borderId="0" xfId="8" applyFont="1" applyAlignment="1">
      <alignment horizontal="center"/>
    </xf>
    <xf numFmtId="2" fontId="1" fillId="0" borderId="0" xfId="8" applyNumberFormat="1" applyFont="1" applyAlignment="1">
      <alignment horizontal="center" vertical="center" wrapText="1"/>
    </xf>
    <xf numFmtId="0" fontId="1" fillId="4" borderId="0" xfId="8" applyFont="1" applyFill="1" applyAlignment="1">
      <alignment horizontal="center" vertical="center" wrapText="1"/>
    </xf>
    <xf numFmtId="0" fontId="1" fillId="0" borderId="0" xfId="8" applyFont="1" applyAlignment="1">
      <alignment horizontal="center" vertical="center"/>
    </xf>
    <xf numFmtId="166" fontId="1" fillId="0" borderId="0" xfId="8" applyNumberFormat="1" applyFont="1" applyAlignment="1">
      <alignment horizontal="center" vertical="center" wrapText="1"/>
    </xf>
    <xf numFmtId="0" fontId="1" fillId="0" borderId="8" xfId="8" applyFont="1" applyBorder="1" applyAlignment="1">
      <alignment horizontal="center" vertical="center" wrapText="1"/>
    </xf>
    <xf numFmtId="0" fontId="1" fillId="0" borderId="8" xfId="8" applyFont="1" applyBorder="1" applyAlignment="1">
      <alignment horizontal="center"/>
    </xf>
    <xf numFmtId="0" fontId="1" fillId="0" borderId="8" xfId="8" applyFont="1" applyBorder="1"/>
    <xf numFmtId="0" fontId="1" fillId="0" borderId="7" xfId="8" applyFont="1" applyBorder="1" applyAlignment="1">
      <alignment horizontal="center" vertical="center"/>
    </xf>
    <xf numFmtId="0" fontId="1" fillId="0" borderId="7" xfId="8" applyFont="1" applyBorder="1" applyAlignment="1">
      <alignment horizontal="center" vertical="center" wrapText="1"/>
    </xf>
    <xf numFmtId="0" fontId="1" fillId="0" borderId="7" xfId="8" applyFont="1" applyBorder="1" applyAlignment="1">
      <alignment horizontal="center"/>
    </xf>
    <xf numFmtId="0" fontId="1" fillId="0" borderId="7" xfId="8" applyFont="1" applyBorder="1"/>
    <xf numFmtId="11" fontId="1" fillId="0" borderId="0" xfId="8" applyNumberFormat="1" applyFont="1" applyAlignment="1">
      <alignment horizontal="center" vertical="center"/>
    </xf>
    <xf numFmtId="0" fontId="1" fillId="0" borderId="0" xfId="8" applyFont="1" applyAlignment="1">
      <alignment horizontal="center" wrapText="1"/>
    </xf>
    <xf numFmtId="164" fontId="1" fillId="5" borderId="0" xfId="8" applyNumberFormat="1" applyFont="1" applyFill="1" applyAlignment="1">
      <alignment horizontal="center" vertical="center" wrapText="1"/>
    </xf>
    <xf numFmtId="168" fontId="1" fillId="0" borderId="0" xfId="8" applyNumberFormat="1" applyFont="1" applyAlignment="1">
      <alignment horizontal="center" vertical="center" wrapText="1"/>
    </xf>
    <xf numFmtId="0" fontId="1" fillId="0" borderId="0" xfId="8" applyFont="1" applyAlignment="1">
      <alignment horizontal="left" vertical="center" wrapText="1"/>
    </xf>
    <xf numFmtId="11" fontId="1" fillId="0" borderId="0" xfId="8" applyNumberFormat="1" applyFont="1" applyAlignment="1">
      <alignment horizontal="center" vertical="center" wrapText="1"/>
    </xf>
    <xf numFmtId="0" fontId="1" fillId="0" borderId="1" xfId="8" applyFont="1" applyBorder="1" applyAlignment="1">
      <alignment horizontal="center" vertical="center"/>
    </xf>
    <xf numFmtId="0" fontId="1" fillId="0" borderId="1" xfId="8" applyFont="1" applyBorder="1" applyAlignment="1">
      <alignment horizontal="center" vertical="center" wrapText="1"/>
    </xf>
    <xf numFmtId="0" fontId="1" fillId="0" borderId="1" xfId="8" applyFont="1" applyBorder="1" applyAlignment="1">
      <alignment horizontal="center"/>
    </xf>
    <xf numFmtId="0" fontId="1" fillId="0" borderId="1" xfId="8" applyFont="1" applyBorder="1"/>
    <xf numFmtId="0" fontId="1" fillId="0" borderId="15" xfId="8" applyFont="1" applyBorder="1" applyAlignment="1">
      <alignment horizontal="center"/>
    </xf>
    <xf numFmtId="0" fontId="1" fillId="0" borderId="15" xfId="8" applyFont="1" applyBorder="1" applyAlignment="1">
      <alignment horizontal="center" vertical="center" wrapText="1"/>
    </xf>
    <xf numFmtId="0" fontId="1" fillId="0" borderId="15" xfId="8" applyFont="1" applyBorder="1"/>
    <xf numFmtId="2" fontId="1" fillId="0" borderId="0" xfId="8" applyNumberFormat="1" applyFont="1" applyAlignment="1">
      <alignment horizontal="center" vertical="center"/>
    </xf>
    <xf numFmtId="0" fontId="1" fillId="4" borderId="8" xfId="8" applyFont="1" applyFill="1" applyBorder="1" applyAlignment="1">
      <alignment horizontal="center" vertical="center" wrapText="1"/>
    </xf>
    <xf numFmtId="11" fontId="1" fillId="0" borderId="7" xfId="8" applyNumberFormat="1" applyFont="1" applyBorder="1" applyAlignment="1">
      <alignment horizontal="center"/>
    </xf>
    <xf numFmtId="11" fontId="1" fillId="0" borderId="0" xfId="8" applyNumberFormat="1" applyFont="1" applyAlignment="1">
      <alignment horizontal="center"/>
    </xf>
    <xf numFmtId="0" fontId="1" fillId="4" borderId="7" xfId="8" applyFont="1" applyFill="1" applyBorder="1" applyAlignment="1">
      <alignment horizontal="center" vertical="center" wrapText="1"/>
    </xf>
    <xf numFmtId="11" fontId="1" fillId="0" borderId="0" xfId="0" applyNumberFormat="1" applyFont="1" applyAlignment="1">
      <alignment horizontal="center"/>
    </xf>
    <xf numFmtId="0" fontId="1" fillId="0" borderId="5" xfId="0" applyFont="1" applyBorder="1" applyAlignment="1">
      <alignment vertical="center" wrapText="1"/>
    </xf>
    <xf numFmtId="0" fontId="1" fillId="0" borderId="5" xfId="0" applyFont="1" applyBorder="1" applyAlignment="1">
      <alignment wrapText="1"/>
    </xf>
    <xf numFmtId="0" fontId="1" fillId="0" borderId="5" xfId="0" applyFont="1" applyBorder="1" applyAlignment="1">
      <alignment vertical="top" wrapText="1"/>
    </xf>
    <xf numFmtId="0" fontId="1" fillId="0" borderId="5" xfId="0" applyFont="1" applyBorder="1" applyAlignment="1">
      <alignment vertical="center"/>
    </xf>
    <xf numFmtId="0" fontId="1" fillId="0" borderId="0" xfId="0" applyFont="1" applyAlignment="1">
      <alignment vertical="center" wrapText="1"/>
    </xf>
    <xf numFmtId="0" fontId="1" fillId="0" borderId="5" xfId="0" applyFont="1" applyBorder="1" applyAlignment="1">
      <alignment horizontal="left" vertical="center"/>
    </xf>
    <xf numFmtId="0" fontId="1" fillId="0" borderId="7" xfId="0" applyFont="1" applyBorder="1" applyAlignment="1">
      <alignment vertical="center" wrapText="1"/>
    </xf>
    <xf numFmtId="0" fontId="1" fillId="0" borderId="7" xfId="0" applyFont="1" applyBorder="1" applyAlignment="1">
      <alignment wrapText="1"/>
    </xf>
    <xf numFmtId="0" fontId="1" fillId="0" borderId="0" xfId="0" applyFont="1" applyAlignment="1">
      <alignment wrapText="1"/>
    </xf>
    <xf numFmtId="0" fontId="33" fillId="0" borderId="43" xfId="0" applyFont="1" applyBorder="1" applyAlignment="1">
      <alignment horizontal="left" vertical="center"/>
    </xf>
    <xf numFmtId="0" fontId="33" fillId="0" borderId="44" xfId="0" applyFont="1" applyBorder="1" applyAlignment="1">
      <alignment horizontal="left" vertical="center"/>
    </xf>
    <xf numFmtId="0" fontId="33" fillId="2" borderId="43" xfId="0" applyFont="1" applyFill="1" applyBorder="1" applyAlignment="1">
      <alignment horizontal="left" vertical="center"/>
    </xf>
    <xf numFmtId="164" fontId="33" fillId="0" borderId="38" xfId="0" applyNumberFormat="1" applyFont="1" applyBorder="1" applyAlignment="1">
      <alignment horizontal="center" vertical="center"/>
    </xf>
    <xf numFmtId="0" fontId="33" fillId="0" borderId="7" xfId="8" applyFont="1" applyBorder="1" applyAlignment="1">
      <alignment horizontal="center" vertical="center" wrapText="1"/>
    </xf>
    <xf numFmtId="0" fontId="33" fillId="0" borderId="7" xfId="8" applyFont="1" applyBorder="1" applyAlignment="1">
      <alignment horizontal="center" vertical="center"/>
    </xf>
    <xf numFmtId="0" fontId="33" fillId="0" borderId="38" xfId="8" applyFont="1" applyBorder="1" applyAlignment="1">
      <alignment horizontal="center" vertical="center" wrapText="1"/>
    </xf>
    <xf numFmtId="0" fontId="20" fillId="0" borderId="50" xfId="0" applyFont="1" applyBorder="1" applyAlignment="1">
      <alignment horizontal="left" vertical="center" wrapText="1"/>
    </xf>
    <xf numFmtId="0" fontId="20" fillId="0" borderId="45" xfId="0" applyFont="1" applyBorder="1" applyAlignment="1">
      <alignment horizontal="left" vertical="center" wrapText="1"/>
    </xf>
    <xf numFmtId="168" fontId="33" fillId="0" borderId="7" xfId="0" applyNumberFormat="1" applyFont="1" applyBorder="1" applyAlignment="1">
      <alignment horizontal="center" wrapText="1"/>
    </xf>
    <xf numFmtId="164" fontId="33" fillId="3" borderId="2" xfId="8" applyNumberFormat="1" applyFont="1" applyFill="1" applyBorder="1" applyAlignment="1">
      <alignment horizontal="center" vertical="center" wrapText="1"/>
    </xf>
    <xf numFmtId="0" fontId="33" fillId="0" borderId="50" xfId="0" applyFont="1" applyBorder="1"/>
    <xf numFmtId="164" fontId="33" fillId="0" borderId="51" xfId="8" applyNumberFormat="1" applyFont="1" applyBorder="1" applyAlignment="1">
      <alignment horizontal="center" vertical="center" wrapText="1"/>
    </xf>
    <xf numFmtId="0" fontId="33" fillId="0" borderId="1" xfId="0" applyFont="1" applyBorder="1"/>
    <xf numFmtId="0" fontId="33" fillId="0" borderId="7" xfId="0" applyFont="1" applyBorder="1"/>
    <xf numFmtId="0" fontId="33" fillId="0" borderId="15" xfId="0" applyFont="1" applyBorder="1"/>
    <xf numFmtId="0" fontId="33" fillId="0" borderId="0" xfId="0" applyFont="1"/>
    <xf numFmtId="1" fontId="33" fillId="0" borderId="0" xfId="8" applyNumberFormat="1" applyFont="1" applyAlignment="1">
      <alignment horizontal="center" vertical="center" wrapText="1"/>
    </xf>
    <xf numFmtId="169" fontId="33" fillId="0" borderId="0" xfId="8" applyNumberFormat="1" applyFont="1" applyAlignment="1">
      <alignment horizontal="center" vertical="center" wrapText="1"/>
    </xf>
    <xf numFmtId="164" fontId="33" fillId="0" borderId="38" xfId="8" applyNumberFormat="1" applyFont="1" applyBorder="1" applyAlignment="1">
      <alignment horizontal="center" vertical="center" wrapText="1"/>
    </xf>
    <xf numFmtId="164" fontId="33" fillId="0" borderId="1" xfId="8" applyNumberFormat="1" applyFont="1" applyBorder="1" applyAlignment="1">
      <alignment horizontal="center" vertical="center" wrapText="1"/>
    </xf>
    <xf numFmtId="0" fontId="33" fillId="2" borderId="44" xfId="0" applyFont="1" applyFill="1" applyBorder="1" applyAlignment="1">
      <alignment vertical="center"/>
    </xf>
    <xf numFmtId="0" fontId="33" fillId="0" borderId="6" xfId="0" applyFont="1" applyBorder="1" applyAlignment="1">
      <alignment horizontal="left" vertical="center"/>
    </xf>
    <xf numFmtId="0" fontId="33" fillId="0" borderId="2" xfId="0" applyFont="1" applyBorder="1" applyAlignment="1">
      <alignment horizontal="center" vertical="center"/>
    </xf>
    <xf numFmtId="164" fontId="33" fillId="0" borderId="2" xfId="0" applyNumberFormat="1" applyFont="1" applyBorder="1" applyAlignment="1">
      <alignment horizontal="center" vertical="center"/>
    </xf>
    <xf numFmtId="164" fontId="33" fillId="0" borderId="2" xfId="8" applyNumberFormat="1" applyFont="1" applyBorder="1" applyAlignment="1">
      <alignment horizontal="center" vertical="center" wrapText="1"/>
    </xf>
    <xf numFmtId="0" fontId="33" fillId="0" borderId="2" xfId="0" applyFont="1" applyBorder="1"/>
    <xf numFmtId="0" fontId="20" fillId="0" borderId="38" xfId="0" applyFont="1" applyBorder="1" applyAlignment="1">
      <alignment horizontal="center" wrapText="1"/>
    </xf>
    <xf numFmtId="0" fontId="20" fillId="0" borderId="38" xfId="0" applyFont="1" applyBorder="1" applyAlignment="1">
      <alignment horizontal="right" wrapText="1"/>
    </xf>
    <xf numFmtId="0" fontId="33" fillId="0" borderId="38" xfId="1" applyFont="1" applyBorder="1"/>
    <xf numFmtId="0" fontId="20" fillId="0" borderId="38" xfId="0" applyFont="1" applyBorder="1" applyAlignment="1">
      <alignment horizontal="left" wrapText="1"/>
    </xf>
    <xf numFmtId="0" fontId="20" fillId="0" borderId="0" xfId="0" applyFont="1" applyAlignment="1">
      <alignment horizontal="center" wrapText="1"/>
    </xf>
    <xf numFmtId="0" fontId="20" fillId="0" borderId="0" xfId="0" applyFont="1" applyAlignment="1">
      <alignment horizontal="right" wrapText="1"/>
    </xf>
    <xf numFmtId="0" fontId="33" fillId="0" borderId="0" xfId="1" applyFont="1"/>
    <xf numFmtId="0" fontId="20" fillId="0" borderId="44" xfId="0" applyFont="1" applyBorder="1" applyAlignment="1">
      <alignment horizontal="left" vertical="center" wrapText="1"/>
    </xf>
    <xf numFmtId="0" fontId="20" fillId="0" borderId="7" xfId="0" applyFont="1" applyBorder="1" applyAlignment="1">
      <alignment horizontal="right" wrapText="1"/>
    </xf>
    <xf numFmtId="0" fontId="33" fillId="0" borderId="7" xfId="1" applyFont="1" applyBorder="1"/>
    <xf numFmtId="0" fontId="20" fillId="0" borderId="7" xfId="0" applyFont="1" applyBorder="1" applyAlignment="1">
      <alignment horizontal="left" wrapText="1"/>
    </xf>
    <xf numFmtId="0" fontId="33" fillId="0" borderId="0" xfId="1" applyFont="1" applyAlignment="1">
      <alignment wrapText="1"/>
    </xf>
    <xf numFmtId="49" fontId="33" fillId="0" borderId="0" xfId="1" quotePrefix="1" applyNumberFormat="1" applyFont="1" applyAlignment="1">
      <alignment horizontal="right" wrapText="1"/>
    </xf>
    <xf numFmtId="49" fontId="33" fillId="0" borderId="7" xfId="1" applyNumberFormat="1" applyFont="1" applyBorder="1" applyAlignment="1">
      <alignment horizontal="right" wrapText="1"/>
    </xf>
    <xf numFmtId="0" fontId="33" fillId="0" borderId="7" xfId="1" applyFont="1" applyBorder="1" applyAlignment="1">
      <alignment horizontal="center" wrapText="1"/>
    </xf>
    <xf numFmtId="0" fontId="33" fillId="0" borderId="7" xfId="1" applyFont="1" applyBorder="1" applyAlignment="1">
      <alignment wrapText="1"/>
    </xf>
    <xf numFmtId="49" fontId="33" fillId="0" borderId="8" xfId="1" quotePrefix="1" applyNumberFormat="1" applyFont="1" applyBorder="1" applyAlignment="1">
      <alignment horizontal="right" wrapText="1"/>
    </xf>
    <xf numFmtId="0" fontId="33" fillId="0" borderId="8" xfId="1" applyFont="1" applyBorder="1"/>
    <xf numFmtId="0" fontId="33" fillId="0" borderId="8" xfId="1" applyFont="1" applyBorder="1" applyAlignment="1">
      <alignment wrapText="1"/>
    </xf>
    <xf numFmtId="0" fontId="33" fillId="0" borderId="0" xfId="1" quotePrefix="1" applyFont="1" applyAlignment="1">
      <alignment horizontal="center" wrapText="1"/>
    </xf>
    <xf numFmtId="0" fontId="33" fillId="0" borderId="7" xfId="1" quotePrefix="1" applyFont="1" applyBorder="1" applyAlignment="1">
      <alignment horizontal="center" wrapText="1"/>
    </xf>
    <xf numFmtId="49" fontId="33" fillId="0" borderId="0" xfId="1" applyNumberFormat="1" applyFont="1" applyAlignment="1">
      <alignment horizontal="right"/>
    </xf>
    <xf numFmtId="0" fontId="33" fillId="0" borderId="1" xfId="1" applyFont="1" applyBorder="1"/>
    <xf numFmtId="0" fontId="33" fillId="0" borderId="1" xfId="1" applyFont="1" applyBorder="1" applyAlignment="1">
      <alignment wrapText="1"/>
    </xf>
    <xf numFmtId="0" fontId="33" fillId="3" borderId="2" xfId="0" applyFont="1" applyFill="1" applyBorder="1" applyAlignment="1">
      <alignment horizontal="center" wrapText="1"/>
    </xf>
    <xf numFmtId="0" fontId="33" fillId="3" borderId="2" xfId="1" applyFont="1" applyFill="1" applyBorder="1"/>
    <xf numFmtId="0" fontId="33" fillId="3" borderId="19" xfId="1" applyFont="1" applyFill="1" applyBorder="1" applyAlignment="1">
      <alignment horizontal="center"/>
    </xf>
    <xf numFmtId="49" fontId="33" fillId="0" borderId="38" xfId="1" quotePrefix="1" applyNumberFormat="1" applyFont="1" applyBorder="1" applyAlignment="1">
      <alignment horizontal="right" wrapText="1"/>
    </xf>
    <xf numFmtId="0" fontId="33" fillId="0" borderId="38" xfId="1" applyFont="1" applyBorder="1" applyAlignment="1">
      <alignment wrapText="1"/>
    </xf>
    <xf numFmtId="0" fontId="33" fillId="0" borderId="15" xfId="1" applyFont="1" applyBorder="1"/>
    <xf numFmtId="49" fontId="33" fillId="0" borderId="8" xfId="1" applyNumberFormat="1" applyFont="1" applyBorder="1" applyAlignment="1">
      <alignment horizontal="right"/>
    </xf>
    <xf numFmtId="0" fontId="33" fillId="0" borderId="51" xfId="1" applyFont="1" applyBorder="1"/>
    <xf numFmtId="0" fontId="33" fillId="0" borderId="52" xfId="1" applyFont="1" applyBorder="1" applyAlignment="1">
      <alignment horizontal="center"/>
    </xf>
    <xf numFmtId="0" fontId="33" fillId="0" borderId="15" xfId="1" applyFont="1" applyBorder="1" applyAlignment="1">
      <alignment wrapText="1"/>
    </xf>
    <xf numFmtId="49" fontId="33" fillId="0" borderId="51" xfId="1" applyNumberFormat="1" applyFont="1" applyBorder="1" applyAlignment="1">
      <alignment horizontal="right"/>
    </xf>
    <xf numFmtId="0" fontId="33" fillId="2" borderId="47" xfId="0" applyFont="1" applyFill="1" applyBorder="1" applyAlignment="1">
      <alignment horizontal="left" vertical="center"/>
    </xf>
    <xf numFmtId="0" fontId="33" fillId="0" borderId="48" xfId="0" applyFont="1" applyBorder="1" applyAlignment="1">
      <alignment horizontal="center" vertical="center" wrapText="1"/>
    </xf>
    <xf numFmtId="0" fontId="33" fillId="0" borderId="50" xfId="0" applyFont="1" applyBorder="1" applyAlignment="1">
      <alignment horizontal="left" vertical="center"/>
    </xf>
    <xf numFmtId="0" fontId="33" fillId="0" borderId="32" xfId="1" applyFont="1" applyBorder="1" applyAlignment="1">
      <alignment horizontal="center"/>
    </xf>
    <xf numFmtId="49" fontId="33" fillId="0" borderId="38" xfId="1" applyNumberFormat="1" applyFont="1" applyBorder="1" applyAlignment="1">
      <alignment horizontal="right" wrapText="1"/>
    </xf>
    <xf numFmtId="0" fontId="45" fillId="3" borderId="3" xfId="0" applyFont="1" applyFill="1" applyBorder="1" applyAlignment="1">
      <alignment horizontal="left"/>
    </xf>
    <xf numFmtId="0" fontId="45" fillId="3" borderId="1" xfId="0" applyFont="1" applyFill="1" applyBorder="1" applyAlignment="1">
      <alignment horizontal="center" wrapText="1"/>
    </xf>
    <xf numFmtId="0" fontId="33" fillId="3" borderId="1" xfId="1" applyFont="1" applyFill="1" applyBorder="1"/>
    <xf numFmtId="0" fontId="33" fillId="3" borderId="20" xfId="1" applyFont="1" applyFill="1" applyBorder="1" applyAlignment="1">
      <alignment horizontal="center"/>
    </xf>
    <xf numFmtId="0" fontId="45" fillId="0" borderId="15" xfId="0" applyFont="1" applyBorder="1" applyAlignment="1">
      <alignment horizontal="center" wrapText="1"/>
    </xf>
    <xf numFmtId="0" fontId="45" fillId="0" borderId="38" xfId="0" applyFont="1" applyBorder="1" applyAlignment="1">
      <alignment horizontal="center"/>
    </xf>
    <xf numFmtId="49" fontId="33" fillId="0" borderId="38" xfId="1" applyNumberFormat="1" applyFont="1" applyBorder="1" applyAlignment="1">
      <alignment horizontal="right"/>
    </xf>
    <xf numFmtId="49" fontId="33" fillId="0" borderId="1" xfId="1" applyNumberFormat="1" applyFont="1" applyBorder="1" applyAlignment="1">
      <alignment horizontal="right" wrapText="1"/>
    </xf>
    <xf numFmtId="0" fontId="33" fillId="0" borderId="1" xfId="1" applyFont="1" applyBorder="1" applyAlignment="1">
      <alignment horizontal="center" wrapText="1"/>
    </xf>
    <xf numFmtId="0" fontId="33" fillId="0" borderId="48" xfId="1" applyFont="1" applyBorder="1"/>
    <xf numFmtId="0" fontId="33" fillId="0" borderId="48" xfId="1" applyFont="1" applyBorder="1" applyAlignment="1">
      <alignment wrapText="1"/>
    </xf>
    <xf numFmtId="49" fontId="33" fillId="0" borderId="0" xfId="1" applyNumberFormat="1" applyFont="1" applyAlignment="1">
      <alignment horizontal="right" vertical="center"/>
    </xf>
    <xf numFmtId="49" fontId="33" fillId="0" borderId="8" xfId="1" applyNumberFormat="1" applyFont="1" applyBorder="1" applyAlignment="1">
      <alignment horizontal="right" vertical="center"/>
    </xf>
    <xf numFmtId="0" fontId="45" fillId="0" borderId="15" xfId="1" applyFont="1" applyBorder="1"/>
    <xf numFmtId="0" fontId="45" fillId="0" borderId="0" xfId="1" applyFont="1"/>
    <xf numFmtId="0" fontId="45" fillId="0" borderId="48" xfId="0" applyFont="1" applyBorder="1" applyAlignment="1">
      <alignment horizontal="center" wrapText="1"/>
    </xf>
    <xf numFmtId="0" fontId="45" fillId="0" borderId="48" xfId="1" applyFont="1" applyBorder="1"/>
    <xf numFmtId="49" fontId="33" fillId="0" borderId="2" xfId="1" applyNumberFormat="1" applyFont="1" applyBorder="1" applyAlignment="1">
      <alignment horizontal="right" vertical="center"/>
    </xf>
    <xf numFmtId="0" fontId="33" fillId="0" borderId="2" xfId="1" applyFont="1" applyBorder="1"/>
    <xf numFmtId="0" fontId="33" fillId="0" borderId="2" xfId="1" applyFont="1" applyBorder="1" applyAlignment="1">
      <alignment wrapText="1"/>
    </xf>
    <xf numFmtId="11" fontId="20" fillId="0" borderId="0" xfId="0" applyNumberFormat="1" applyFont="1" applyAlignment="1">
      <alignment horizontal="center" wrapText="1"/>
    </xf>
    <xf numFmtId="164" fontId="20" fillId="0" borderId="0" xfId="0" applyNumberFormat="1" applyFont="1" applyAlignment="1">
      <alignment horizontal="center" wrapText="1"/>
    </xf>
    <xf numFmtId="169" fontId="20" fillId="0" borderId="0" xfId="0" applyNumberFormat="1" applyFont="1" applyAlignment="1">
      <alignment horizontal="center" wrapText="1"/>
    </xf>
    <xf numFmtId="0" fontId="20" fillId="4" borderId="0" xfId="0" applyFont="1" applyFill="1" applyAlignment="1">
      <alignment horizontal="center" wrapText="1"/>
    </xf>
    <xf numFmtId="11" fontId="20" fillId="0" borderId="7" xfId="0" applyNumberFormat="1" applyFont="1" applyBorder="1" applyAlignment="1">
      <alignment horizontal="center" wrapText="1"/>
    </xf>
    <xf numFmtId="164" fontId="20" fillId="0" borderId="7" xfId="0" applyNumberFormat="1" applyFont="1" applyBorder="1" applyAlignment="1">
      <alignment horizontal="center" wrapText="1"/>
    </xf>
    <xf numFmtId="169" fontId="20" fillId="0" borderId="7" xfId="0" applyNumberFormat="1" applyFont="1" applyBorder="1" applyAlignment="1">
      <alignment horizontal="center" wrapText="1"/>
    </xf>
    <xf numFmtId="0" fontId="33" fillId="0" borderId="7" xfId="8" applyFont="1" applyBorder="1"/>
    <xf numFmtId="11" fontId="20" fillId="0" borderId="8" xfId="0" applyNumberFormat="1" applyFont="1" applyBorder="1" applyAlignment="1">
      <alignment horizontal="center" wrapText="1"/>
    </xf>
    <xf numFmtId="164" fontId="20" fillId="0" borderId="8" xfId="0" applyNumberFormat="1" applyFont="1" applyBorder="1" applyAlignment="1">
      <alignment horizontal="center" wrapText="1"/>
    </xf>
    <xf numFmtId="169" fontId="20" fillId="0" borderId="8" xfId="0" applyNumberFormat="1" applyFont="1" applyBorder="1" applyAlignment="1">
      <alignment horizontal="center" wrapText="1"/>
    </xf>
    <xf numFmtId="0" fontId="33" fillId="0" borderId="8" xfId="8" applyFont="1" applyBorder="1"/>
    <xf numFmtId="11" fontId="33" fillId="0" borderId="51" xfId="0" applyNumberFormat="1" applyFont="1" applyBorder="1" applyAlignment="1">
      <alignment horizontal="center"/>
    </xf>
    <xf numFmtId="0" fontId="33" fillId="0" borderId="51" xfId="8" applyFont="1" applyBorder="1"/>
    <xf numFmtId="0" fontId="33" fillId="4" borderId="0" xfId="8" applyFont="1" applyFill="1" applyAlignment="1">
      <alignment horizontal="center" vertical="center" wrapText="1"/>
    </xf>
    <xf numFmtId="0" fontId="33" fillId="0" borderId="7" xfId="8" applyFont="1" applyBorder="1" applyAlignment="1">
      <alignment horizontal="center"/>
    </xf>
    <xf numFmtId="0" fontId="31" fillId="0" borderId="0" xfId="0" applyFont="1"/>
    <xf numFmtId="0" fontId="33" fillId="0" borderId="1" xfId="8" applyFont="1" applyBorder="1"/>
    <xf numFmtId="0" fontId="33" fillId="0" borderId="51" xfId="8" applyFont="1" applyBorder="1" applyAlignment="1">
      <alignment horizontal="center" wrapText="1"/>
    </xf>
    <xf numFmtId="164" fontId="33" fillId="4" borderId="15" xfId="8" applyNumberFormat="1" applyFont="1" applyFill="1" applyBorder="1" applyAlignment="1">
      <alignment horizontal="center" vertical="center" wrapText="1"/>
    </xf>
    <xf numFmtId="0" fontId="33" fillId="0" borderId="15" xfId="8" applyFont="1" applyBorder="1"/>
    <xf numFmtId="11" fontId="33" fillId="0" borderId="15" xfId="0" applyNumberFormat="1" applyFont="1" applyBorder="1" applyAlignment="1">
      <alignment horizontal="center" vertical="center"/>
    </xf>
    <xf numFmtId="11" fontId="33" fillId="0" borderId="8" xfId="0" applyNumberFormat="1" applyFont="1" applyBorder="1" applyAlignment="1">
      <alignment horizontal="center"/>
    </xf>
    <xf numFmtId="164" fontId="33" fillId="0" borderId="8" xfId="8" applyNumberFormat="1" applyFont="1" applyBorder="1" applyAlignment="1">
      <alignment horizontal="center" vertical="center" wrapText="1"/>
    </xf>
    <xf numFmtId="0" fontId="33" fillId="4" borderId="7" xfId="8" applyFont="1" applyFill="1" applyBorder="1" applyAlignment="1">
      <alignment horizontal="center" vertical="center" wrapText="1"/>
    </xf>
    <xf numFmtId="2" fontId="33" fillId="0" borderId="15" xfId="0" applyNumberFormat="1" applyFont="1" applyBorder="1" applyAlignment="1">
      <alignment horizontal="center"/>
    </xf>
    <xf numFmtId="11" fontId="33" fillId="0" borderId="0" xfId="8" applyNumberFormat="1" applyFont="1" applyAlignment="1">
      <alignment horizontal="center"/>
    </xf>
    <xf numFmtId="2" fontId="33" fillId="0" borderId="0" xfId="8" applyNumberFormat="1" applyFont="1" applyAlignment="1">
      <alignment horizontal="center"/>
    </xf>
    <xf numFmtId="1" fontId="33" fillId="0" borderId="0" xfId="8" applyNumberFormat="1" applyFont="1" applyAlignment="1">
      <alignment horizontal="center" vertical="center"/>
    </xf>
    <xf numFmtId="2" fontId="33" fillId="0" borderId="0" xfId="8" applyNumberFormat="1" applyFont="1" applyAlignment="1">
      <alignment horizontal="center" vertical="center"/>
    </xf>
    <xf numFmtId="0" fontId="33" fillId="0" borderId="7" xfId="8" applyFont="1" applyBorder="1" applyAlignment="1">
      <alignment vertical="center"/>
    </xf>
    <xf numFmtId="11" fontId="33" fillId="0" borderId="15" xfId="8" applyNumberFormat="1" applyFont="1" applyBorder="1" applyAlignment="1">
      <alignment horizontal="center" vertical="center"/>
    </xf>
    <xf numFmtId="0" fontId="33" fillId="4" borderId="15" xfId="8" applyFont="1" applyFill="1" applyBorder="1" applyAlignment="1">
      <alignment horizontal="center" vertical="center" wrapText="1"/>
    </xf>
    <xf numFmtId="0" fontId="33" fillId="0" borderId="15" xfId="8" applyFont="1" applyBorder="1" applyAlignment="1">
      <alignment vertical="center"/>
    </xf>
    <xf numFmtId="11" fontId="33" fillId="0" borderId="0" xfId="8" applyNumberFormat="1" applyFont="1" applyAlignment="1">
      <alignment horizontal="center" vertical="center"/>
    </xf>
    <xf numFmtId="0" fontId="33" fillId="0" borderId="0" xfId="8" applyFont="1" applyAlignment="1">
      <alignment vertical="center"/>
    </xf>
    <xf numFmtId="11" fontId="33" fillId="0" borderId="38" xfId="0" applyNumberFormat="1" applyFont="1" applyBorder="1" applyAlignment="1">
      <alignment horizontal="center" vertical="center"/>
    </xf>
    <xf numFmtId="0" fontId="33" fillId="0" borderId="38" xfId="0" applyFont="1" applyBorder="1"/>
    <xf numFmtId="0" fontId="33" fillId="4" borderId="7" xfId="8" applyFont="1" applyFill="1" applyBorder="1" applyAlignment="1">
      <alignment horizontal="center" vertical="center"/>
    </xf>
    <xf numFmtId="11" fontId="33" fillId="0" borderId="7" xfId="8" applyNumberFormat="1" applyFont="1" applyBorder="1" applyAlignment="1">
      <alignment horizontal="center"/>
    </xf>
    <xf numFmtId="164" fontId="33" fillId="0" borderId="51" xfId="0" applyNumberFormat="1" applyFont="1" applyBorder="1" applyAlignment="1">
      <alignment horizontal="center" vertical="center"/>
    </xf>
    <xf numFmtId="164" fontId="33" fillId="0" borderId="51" xfId="0" applyNumberFormat="1" applyFont="1" applyBorder="1" applyAlignment="1">
      <alignment horizontal="center"/>
    </xf>
    <xf numFmtId="164" fontId="33" fillId="3" borderId="0" xfId="8" applyNumberFormat="1" applyFont="1" applyFill="1" applyAlignment="1">
      <alignment horizontal="center" vertical="center" wrapText="1"/>
    </xf>
    <xf numFmtId="0" fontId="33" fillId="0" borderId="51" xfId="8" applyFont="1" applyBorder="1" applyAlignment="1">
      <alignment horizontal="center" vertical="center" wrapText="1"/>
    </xf>
    <xf numFmtId="0" fontId="33" fillId="0" borderId="51" xfId="8" applyFont="1" applyBorder="1" applyAlignment="1">
      <alignment vertical="center"/>
    </xf>
    <xf numFmtId="0" fontId="33" fillId="0" borderId="48" xfId="8" applyFont="1" applyBorder="1" applyAlignment="1">
      <alignment horizontal="center" vertical="center" wrapText="1"/>
    </xf>
    <xf numFmtId="164" fontId="33" fillId="0" borderId="48" xfId="8" applyNumberFormat="1" applyFont="1" applyBorder="1" applyAlignment="1">
      <alignment horizontal="center" vertical="center" wrapText="1"/>
    </xf>
    <xf numFmtId="0" fontId="33" fillId="0" borderId="48" xfId="8" applyFont="1" applyBorder="1"/>
    <xf numFmtId="0" fontId="33" fillId="0" borderId="48" xfId="8" applyFont="1" applyBorder="1" applyAlignment="1">
      <alignment vertical="center"/>
    </xf>
    <xf numFmtId="0" fontId="45" fillId="3" borderId="4" xfId="0" applyFont="1" applyFill="1" applyBorder="1"/>
    <xf numFmtId="0" fontId="33" fillId="0" borderId="38" xfId="8" applyFont="1" applyBorder="1" applyAlignment="1">
      <alignment horizontal="center"/>
    </xf>
    <xf numFmtId="0" fontId="33" fillId="4" borderId="38" xfId="8" applyFont="1" applyFill="1" applyBorder="1" applyAlignment="1">
      <alignment horizontal="center" vertical="center" wrapText="1"/>
    </xf>
    <xf numFmtId="0" fontId="33" fillId="0" borderId="38" xfId="8" applyFont="1" applyBorder="1"/>
    <xf numFmtId="0" fontId="33" fillId="0" borderId="1" xfId="8" applyFont="1" applyBorder="1" applyAlignment="1">
      <alignment horizontal="center"/>
    </xf>
    <xf numFmtId="11" fontId="33" fillId="0" borderId="2" xfId="0" applyNumberFormat="1" applyFont="1" applyBorder="1" applyAlignment="1">
      <alignment horizontal="center" vertical="center"/>
    </xf>
    <xf numFmtId="1" fontId="20" fillId="0" borderId="0" xfId="0" applyNumberFormat="1" applyFont="1" applyAlignment="1">
      <alignment horizontal="center" wrapText="1"/>
    </xf>
    <xf numFmtId="1" fontId="20" fillId="0" borderId="7" xfId="0" applyNumberFormat="1" applyFont="1" applyBorder="1" applyAlignment="1">
      <alignment horizontal="center" wrapText="1"/>
    </xf>
    <xf numFmtId="1" fontId="20" fillId="0" borderId="8" xfId="0" applyNumberFormat="1" applyFont="1" applyBorder="1" applyAlignment="1">
      <alignment horizontal="center" wrapText="1"/>
    </xf>
    <xf numFmtId="0" fontId="20" fillId="0" borderId="8" xfId="0" applyFont="1" applyBorder="1" applyAlignment="1">
      <alignment horizontal="left" wrapText="1"/>
    </xf>
    <xf numFmtId="11" fontId="33" fillId="0" borderId="8" xfId="0" applyNumberFormat="1" applyFont="1" applyBorder="1" applyAlignment="1">
      <alignment horizontal="center" vertical="center"/>
    </xf>
    <xf numFmtId="164" fontId="33" fillId="3" borderId="38" xfId="8" applyNumberFormat="1" applyFont="1" applyFill="1" applyBorder="1" applyAlignment="1">
      <alignment horizontal="center" vertical="center" wrapText="1"/>
    </xf>
    <xf numFmtId="11" fontId="33" fillId="0" borderId="15" xfId="0" applyNumberFormat="1" applyFont="1" applyBorder="1" applyAlignment="1">
      <alignment horizontal="center" wrapText="1"/>
    </xf>
    <xf numFmtId="0" fontId="33" fillId="0" borderId="8" xfId="0" applyFont="1" applyBorder="1"/>
    <xf numFmtId="11" fontId="33" fillId="0" borderId="38" xfId="0" applyNumberFormat="1" applyFont="1" applyBorder="1" applyAlignment="1">
      <alignment horizontal="center" wrapText="1"/>
    </xf>
    <xf numFmtId="0" fontId="33" fillId="0" borderId="38" xfId="0" applyFont="1" applyBorder="1" applyAlignment="1">
      <alignment horizontal="left" vertical="center"/>
    </xf>
    <xf numFmtId="2" fontId="20" fillId="0" borderId="0" xfId="0" applyNumberFormat="1" applyFont="1" applyAlignment="1">
      <alignment horizontal="center" wrapText="1"/>
    </xf>
    <xf numFmtId="0" fontId="33" fillId="0" borderId="0" xfId="0" applyFont="1" applyAlignment="1">
      <alignment vertical="center"/>
    </xf>
    <xf numFmtId="0" fontId="33" fillId="0" borderId="7" xfId="0" applyFont="1" applyBorder="1" applyAlignment="1">
      <alignment vertical="center"/>
    </xf>
    <xf numFmtId="11" fontId="33" fillId="0" borderId="8" xfId="0" applyNumberFormat="1" applyFont="1" applyBorder="1" applyAlignment="1">
      <alignment horizontal="center" wrapText="1"/>
    </xf>
    <xf numFmtId="0" fontId="33" fillId="0" borderId="51" xfId="0" applyFont="1" applyBorder="1"/>
    <xf numFmtId="2" fontId="33" fillId="0" borderId="8" xfId="0" applyNumberFormat="1" applyFont="1" applyBorder="1" applyAlignment="1">
      <alignment horizontal="center"/>
    </xf>
    <xf numFmtId="0" fontId="33" fillId="2" borderId="45" xfId="0" applyFont="1" applyFill="1" applyBorder="1"/>
    <xf numFmtId="0" fontId="33" fillId="0" borderId="3" xfId="0" applyFont="1" applyBorder="1"/>
    <xf numFmtId="0" fontId="33" fillId="0" borderId="64" xfId="0" quotePrefix="1" applyFont="1" applyBorder="1" applyAlignment="1">
      <alignment horizontal="center"/>
    </xf>
    <xf numFmtId="0" fontId="33" fillId="0" borderId="51" xfId="0" quotePrefix="1" applyFont="1" applyBorder="1" applyAlignment="1">
      <alignment horizontal="center"/>
    </xf>
    <xf numFmtId="0" fontId="33" fillId="0" borderId="17" xfId="0" quotePrefix="1" applyFont="1" applyBorder="1" applyAlignment="1">
      <alignment horizontal="center"/>
    </xf>
    <xf numFmtId="0" fontId="33" fillId="0" borderId="15" xfId="0" quotePrefix="1" applyFont="1" applyBorder="1" applyAlignment="1">
      <alignment horizontal="center"/>
    </xf>
    <xf numFmtId="0" fontId="33" fillId="0" borderId="41" xfId="0" applyFont="1" applyBorder="1" applyAlignment="1">
      <alignment horizontal="center" vertical="center"/>
    </xf>
    <xf numFmtId="0" fontId="33" fillId="0" borderId="62" xfId="0" applyFont="1" applyBorder="1" applyAlignment="1">
      <alignment horizontal="center"/>
    </xf>
    <xf numFmtId="0" fontId="45" fillId="3" borderId="3" xfId="0" applyFont="1" applyFill="1" applyBorder="1"/>
    <xf numFmtId="0" fontId="45" fillId="3" borderId="1" xfId="0" applyFont="1" applyFill="1" applyBorder="1" applyAlignment="1">
      <alignment horizontal="center"/>
    </xf>
    <xf numFmtId="0" fontId="33" fillId="3" borderId="0" xfId="0" applyFont="1" applyFill="1" applyAlignment="1">
      <alignment horizontal="center"/>
    </xf>
    <xf numFmtId="164" fontId="33" fillId="0" borderId="51" xfId="0" applyNumberFormat="1" applyFont="1" applyBorder="1" applyAlignment="1">
      <alignment horizontal="center" vertical="center" wrapText="1"/>
    </xf>
    <xf numFmtId="1" fontId="33" fillId="0" borderId="51" xfId="0" applyNumberFormat="1" applyFont="1" applyBorder="1" applyAlignment="1">
      <alignment horizontal="center" vertical="center"/>
    </xf>
    <xf numFmtId="11" fontId="33" fillId="0" borderId="51" xfId="0" applyNumberFormat="1" applyFont="1" applyBorder="1" applyAlignment="1">
      <alignment horizontal="center" vertical="center"/>
    </xf>
    <xf numFmtId="0" fontId="33" fillId="0" borderId="51" xfId="0" applyFont="1" applyBorder="1" applyAlignment="1">
      <alignment horizontal="left" vertical="center"/>
    </xf>
    <xf numFmtId="164" fontId="33" fillId="0" borderId="15" xfId="0" applyNumberFormat="1" applyFont="1" applyBorder="1" applyAlignment="1">
      <alignment horizontal="center" vertical="center" wrapText="1"/>
    </xf>
    <xf numFmtId="1" fontId="33" fillId="0" borderId="15" xfId="0" applyNumberFormat="1" applyFont="1" applyBorder="1" applyAlignment="1">
      <alignment horizontal="center" vertical="center"/>
    </xf>
    <xf numFmtId="2" fontId="33" fillId="0" borderId="7" xfId="8" quotePrefix="1" applyNumberFormat="1" applyFont="1" applyBorder="1" applyAlignment="1">
      <alignment horizontal="center" vertical="center" wrapText="1"/>
    </xf>
    <xf numFmtId="0" fontId="33" fillId="5" borderId="7" xfId="0" applyFont="1" applyFill="1" applyBorder="1" applyAlignment="1">
      <alignment horizontal="center" vertical="center"/>
    </xf>
    <xf numFmtId="11" fontId="33" fillId="0" borderId="0" xfId="8" applyNumberFormat="1" applyFont="1" applyAlignment="1">
      <alignment horizontal="center" vertical="center" wrapText="1"/>
    </xf>
    <xf numFmtId="11" fontId="33" fillId="0" borderId="7" xfId="0" applyNumberFormat="1" applyFont="1" applyBorder="1" applyAlignment="1">
      <alignment horizontal="center" vertical="center" wrapText="1"/>
    </xf>
    <xf numFmtId="0" fontId="33" fillId="5" borderId="15" xfId="0" applyFont="1" applyFill="1" applyBorder="1" applyAlignment="1">
      <alignment horizontal="center" vertical="center"/>
    </xf>
    <xf numFmtId="1" fontId="33" fillId="0" borderId="15" xfId="0" applyNumberFormat="1" applyFont="1" applyBorder="1" applyAlignment="1">
      <alignment horizontal="center" vertical="center" wrapText="1"/>
    </xf>
    <xf numFmtId="0" fontId="33" fillId="0" borderId="15" xfId="0" applyFont="1" applyBorder="1" applyAlignment="1">
      <alignment horizontal="left" vertical="center" wrapText="1" indent="1"/>
    </xf>
    <xf numFmtId="0" fontId="33" fillId="4" borderId="7" xfId="0" applyFont="1" applyFill="1" applyBorder="1" applyAlignment="1">
      <alignment horizontal="center" vertical="center"/>
    </xf>
    <xf numFmtId="11" fontId="33" fillId="0" borderId="15" xfId="0" applyNumberFormat="1" applyFont="1" applyBorder="1" applyAlignment="1">
      <alignment horizontal="center" vertical="center" wrapText="1"/>
    </xf>
    <xf numFmtId="0" fontId="33" fillId="7" borderId="0" xfId="0" applyFont="1" applyFill="1" applyAlignment="1">
      <alignment horizontal="center" vertical="center"/>
    </xf>
    <xf numFmtId="0" fontId="33" fillId="4" borderId="0" xfId="0" applyFont="1" applyFill="1" applyAlignment="1">
      <alignment horizontal="center" vertical="center"/>
    </xf>
    <xf numFmtId="0" fontId="33" fillId="7" borderId="1" xfId="0" applyFont="1" applyFill="1" applyBorder="1" applyAlignment="1">
      <alignment horizontal="center" vertical="center"/>
    </xf>
    <xf numFmtId="11" fontId="33" fillId="0" borderId="1" xfId="0" applyNumberFormat="1" applyFont="1" applyBorder="1" applyAlignment="1">
      <alignment horizontal="center" vertical="center"/>
    </xf>
    <xf numFmtId="1" fontId="33" fillId="5" borderId="7" xfId="0" applyNumberFormat="1" applyFont="1" applyFill="1" applyBorder="1" applyAlignment="1">
      <alignment horizontal="center" vertical="center"/>
    </xf>
    <xf numFmtId="167" fontId="33" fillId="0" borderId="51" xfId="8" applyNumberFormat="1" applyFont="1" applyBorder="1" applyAlignment="1">
      <alignment horizontal="center" wrapText="1"/>
    </xf>
    <xf numFmtId="168" fontId="33" fillId="0" borderId="7" xfId="8" applyNumberFormat="1" applyFont="1" applyBorder="1" applyAlignment="1">
      <alignment horizontal="center" wrapText="1"/>
    </xf>
    <xf numFmtId="167" fontId="33" fillId="0" borderId="7" xfId="8" applyNumberFormat="1" applyFont="1" applyBorder="1" applyAlignment="1">
      <alignment horizontal="center" wrapText="1"/>
    </xf>
    <xf numFmtId="20" fontId="33" fillId="0" borderId="44" xfId="0" applyNumberFormat="1" applyFont="1" applyBorder="1" applyAlignment="1">
      <alignment vertical="center"/>
    </xf>
    <xf numFmtId="0" fontId="33" fillId="0" borderId="44" xfId="0" applyFont="1" applyBorder="1" applyAlignment="1">
      <alignment vertical="center"/>
    </xf>
    <xf numFmtId="166" fontId="33" fillId="0" borderId="7" xfId="8" applyNumberFormat="1" applyFont="1" applyBorder="1" applyAlignment="1">
      <alignment horizontal="center" vertical="center" wrapText="1"/>
    </xf>
    <xf numFmtId="164" fontId="33" fillId="7" borderId="15" xfId="0" applyNumberFormat="1" applyFont="1" applyFill="1" applyBorder="1" applyAlignment="1">
      <alignment horizontal="center" vertical="center"/>
    </xf>
    <xf numFmtId="164" fontId="33" fillId="7" borderId="0" xfId="0" applyNumberFormat="1" applyFont="1" applyFill="1" applyAlignment="1">
      <alignment horizontal="center" vertical="center"/>
    </xf>
    <xf numFmtId="0" fontId="33" fillId="0" borderId="38" xfId="8" quotePrefix="1" applyFont="1" applyBorder="1" applyAlignment="1">
      <alignment horizontal="center" vertical="center" wrapText="1"/>
    </xf>
    <xf numFmtId="167" fontId="33" fillId="0" borderId="38" xfId="8" applyNumberFormat="1" applyFont="1" applyBorder="1" applyAlignment="1">
      <alignment horizontal="center" vertical="center" wrapText="1"/>
    </xf>
    <xf numFmtId="1" fontId="33" fillId="0" borderId="38" xfId="8" applyNumberFormat="1" applyFont="1" applyBorder="1" applyAlignment="1">
      <alignment horizontal="center" vertical="center" wrapText="1"/>
    </xf>
    <xf numFmtId="166" fontId="33" fillId="0" borderId="0" xfId="8" applyNumberFormat="1" applyFont="1" applyAlignment="1">
      <alignment horizontal="center" vertical="center" wrapText="1"/>
    </xf>
    <xf numFmtId="0" fontId="33" fillId="0" borderId="38" xfId="8" applyFont="1" applyBorder="1" applyAlignment="1">
      <alignment horizontal="left" vertical="center" wrapText="1"/>
    </xf>
    <xf numFmtId="0" fontId="33" fillId="0" borderId="15" xfId="8" quotePrefix="1" applyFont="1" applyBorder="1" applyAlignment="1">
      <alignment horizontal="center" vertical="center" wrapText="1"/>
    </xf>
    <xf numFmtId="167" fontId="33" fillId="0" borderId="15" xfId="8" applyNumberFormat="1" applyFont="1" applyBorder="1" applyAlignment="1">
      <alignment horizontal="center" vertical="center" wrapText="1"/>
    </xf>
    <xf numFmtId="1" fontId="33" fillId="0" borderId="15" xfId="8" applyNumberFormat="1" applyFont="1" applyBorder="1" applyAlignment="1">
      <alignment horizontal="center" vertical="center" wrapText="1"/>
    </xf>
    <xf numFmtId="2" fontId="33" fillId="0" borderId="15" xfId="8" applyNumberFormat="1" applyFont="1" applyBorder="1" applyAlignment="1">
      <alignment horizontal="center" vertical="center" wrapText="1"/>
    </xf>
    <xf numFmtId="1" fontId="33" fillId="4" borderId="15" xfId="8" applyNumberFormat="1" applyFont="1" applyFill="1" applyBorder="1" applyAlignment="1">
      <alignment horizontal="center" vertical="center" wrapText="1"/>
    </xf>
    <xf numFmtId="2" fontId="33" fillId="0" borderId="7" xfId="8" applyNumberFormat="1" applyFont="1" applyBorder="1" applyAlignment="1">
      <alignment horizontal="center" vertical="center" wrapText="1"/>
    </xf>
    <xf numFmtId="0" fontId="33" fillId="0" borderId="48" xfId="8" quotePrefix="1" applyFont="1" applyBorder="1" applyAlignment="1">
      <alignment horizontal="center" vertical="center" wrapText="1"/>
    </xf>
    <xf numFmtId="167" fontId="33" fillId="0" borderId="48" xfId="8" applyNumberFormat="1" applyFont="1" applyBorder="1" applyAlignment="1">
      <alignment horizontal="center" vertical="center" wrapText="1"/>
    </xf>
    <xf numFmtId="1" fontId="33" fillId="4" borderId="48" xfId="8" applyNumberFormat="1" applyFont="1" applyFill="1" applyBorder="1" applyAlignment="1">
      <alignment horizontal="center" vertical="center" wrapText="1"/>
    </xf>
    <xf numFmtId="2" fontId="33" fillId="0" borderId="48" xfId="8" applyNumberFormat="1" applyFont="1" applyBorder="1" applyAlignment="1">
      <alignment horizontal="center" vertical="center" wrapText="1"/>
    </xf>
    <xf numFmtId="11" fontId="33" fillId="0" borderId="48" xfId="0" applyNumberFormat="1" applyFont="1" applyBorder="1" applyAlignment="1">
      <alignment horizontal="center" vertical="center"/>
    </xf>
    <xf numFmtId="0" fontId="33" fillId="0" borderId="48" xfId="8" applyFont="1" applyBorder="1" applyAlignment="1">
      <alignment horizontal="left" vertical="center" wrapText="1"/>
    </xf>
    <xf numFmtId="164" fontId="20" fillId="0" borderId="38" xfId="0" applyNumberFormat="1" applyFont="1" applyBorder="1" applyAlignment="1">
      <alignment horizontal="center" wrapText="1"/>
    </xf>
    <xf numFmtId="1" fontId="33" fillId="0" borderId="7" xfId="0" applyNumberFormat="1" applyFont="1" applyBorder="1" applyAlignment="1">
      <alignment horizontal="center"/>
    </xf>
    <xf numFmtId="0" fontId="20" fillId="0" borderId="15" xfId="0" applyFont="1" applyBorder="1" applyAlignment="1">
      <alignment horizontal="left" wrapText="1"/>
    </xf>
    <xf numFmtId="166" fontId="33" fillId="0" borderId="15" xfId="8" applyNumberFormat="1" applyFont="1" applyBorder="1" applyAlignment="1">
      <alignment horizontal="center" vertical="center" wrapText="1"/>
    </xf>
    <xf numFmtId="166" fontId="33" fillId="0" borderId="8" xfId="8" applyNumberFormat="1" applyFont="1" applyBorder="1" applyAlignment="1">
      <alignment horizontal="center" vertical="center" wrapText="1"/>
    </xf>
    <xf numFmtId="1" fontId="33" fillId="0" borderId="1" xfId="8" applyNumberFormat="1" applyFont="1" applyBorder="1" applyAlignment="1">
      <alignment horizontal="center" vertical="center" wrapText="1"/>
    </xf>
    <xf numFmtId="169" fontId="33" fillId="0" borderId="1" xfId="8" applyNumberFormat="1" applyFont="1" applyBorder="1" applyAlignment="1">
      <alignment horizontal="center" vertical="center" wrapText="1"/>
    </xf>
    <xf numFmtId="1" fontId="33" fillId="0" borderId="1" xfId="8" applyNumberFormat="1" applyFont="1" applyBorder="1" applyAlignment="1">
      <alignment horizontal="left" vertical="center" wrapText="1"/>
    </xf>
    <xf numFmtId="0" fontId="33" fillId="0" borderId="2" xfId="0" applyFont="1" applyBorder="1" applyAlignment="1">
      <alignment vertical="center"/>
    </xf>
    <xf numFmtId="0" fontId="33" fillId="0" borderId="19" xfId="0" applyFont="1" applyBorder="1" applyAlignment="1">
      <alignment horizontal="center" vertical="center"/>
    </xf>
    <xf numFmtId="0" fontId="33" fillId="0" borderId="60" xfId="0" applyFont="1" applyBorder="1" applyAlignment="1">
      <alignment horizontal="center"/>
    </xf>
    <xf numFmtId="0" fontId="34" fillId="0" borderId="60" xfId="0" applyFont="1" applyBorder="1" applyAlignment="1">
      <alignment horizontal="center" vertical="center"/>
    </xf>
    <xf numFmtId="0" fontId="34" fillId="0" borderId="0" xfId="0" applyFont="1" applyAlignment="1">
      <alignment horizontal="center" vertical="center"/>
    </xf>
    <xf numFmtId="0" fontId="33" fillId="0" borderId="60" xfId="1" applyFont="1" applyBorder="1" applyAlignment="1">
      <alignment horizontal="center" vertical="center"/>
    </xf>
    <xf numFmtId="0" fontId="33" fillId="0" borderId="0" xfId="1" applyFont="1" applyAlignment="1">
      <alignment horizontal="left" vertical="center" wrapText="1"/>
    </xf>
    <xf numFmtId="0" fontId="33" fillId="0" borderId="0" xfId="1" applyFont="1" applyAlignment="1">
      <alignment horizontal="left" vertical="top" wrapText="1"/>
    </xf>
    <xf numFmtId="0" fontId="38" fillId="0" borderId="7" xfId="0" applyFont="1" applyBorder="1" applyAlignment="1">
      <alignment horizontal="center" vertical="center" wrapText="1"/>
    </xf>
    <xf numFmtId="0" fontId="38" fillId="0" borderId="7" xfId="0" applyFont="1" applyBorder="1" applyAlignment="1">
      <alignment horizontal="center" vertical="center"/>
    </xf>
    <xf numFmtId="164" fontId="38" fillId="0" borderId="7" xfId="0" applyNumberFormat="1" applyFont="1" applyBorder="1" applyAlignment="1">
      <alignment horizontal="center" vertical="center"/>
    </xf>
    <xf numFmtId="0" fontId="38" fillId="0" borderId="7" xfId="8" applyFont="1" applyBorder="1" applyAlignment="1">
      <alignment horizontal="center" vertical="center" wrapText="1"/>
    </xf>
    <xf numFmtId="2" fontId="38" fillId="0" borderId="7" xfId="0" applyNumberFormat="1" applyFont="1" applyBorder="1" applyAlignment="1">
      <alignment horizontal="center" vertical="center" wrapText="1"/>
    </xf>
    <xf numFmtId="11" fontId="38" fillId="0" borderId="7" xfId="0" applyNumberFormat="1" applyFont="1" applyBorder="1" applyAlignment="1">
      <alignment horizontal="center" vertical="center"/>
    </xf>
    <xf numFmtId="0" fontId="38" fillId="0" borderId="7" xfId="0" applyFont="1" applyBorder="1" applyAlignment="1">
      <alignment horizontal="left" vertical="center"/>
    </xf>
    <xf numFmtId="0" fontId="38" fillId="0" borderId="31" xfId="0" applyFont="1" applyBorder="1" applyAlignment="1">
      <alignment horizontal="center" vertical="center"/>
    </xf>
    <xf numFmtId="0" fontId="33" fillId="0" borderId="15" xfId="0" applyFont="1" applyBorder="1" applyAlignment="1">
      <alignment vertical="center" wrapText="1"/>
    </xf>
    <xf numFmtId="49" fontId="82" fillId="2" borderId="0" xfId="12" quotePrefix="1" applyNumberFormat="1" applyFont="1" applyFill="1"/>
    <xf numFmtId="0" fontId="48" fillId="2" borderId="0" xfId="12" applyFont="1" applyFill="1" applyAlignment="1">
      <alignment horizontal="left" wrapText="1"/>
    </xf>
    <xf numFmtId="0" fontId="77" fillId="2" borderId="0" xfId="13" applyFont="1" applyFill="1" applyAlignment="1">
      <alignment horizontal="left" wrapText="1"/>
    </xf>
    <xf numFmtId="0" fontId="78" fillId="2" borderId="0" xfId="12" applyFont="1" applyFill="1" applyAlignment="1">
      <alignment horizontal="left" wrapText="1"/>
    </xf>
    <xf numFmtId="0" fontId="48" fillId="2" borderId="0" xfId="12" applyFont="1" applyFill="1" applyAlignment="1">
      <alignment horizontal="right"/>
    </xf>
    <xf numFmtId="0" fontId="2" fillId="2" borderId="0" xfId="12" applyFill="1" applyAlignment="1">
      <alignment horizontal="left" wrapText="1"/>
    </xf>
    <xf numFmtId="0" fontId="33" fillId="0" borderId="16" xfId="0" applyFont="1" applyBorder="1" applyAlignment="1">
      <alignment horizontal="left" vertical="center"/>
    </xf>
    <xf numFmtId="0" fontId="33" fillId="0" borderId="4" xfId="0" applyFont="1" applyBorder="1" applyAlignment="1">
      <alignment horizontal="left" vertical="center"/>
    </xf>
    <xf numFmtId="0" fontId="33" fillId="0" borderId="38" xfId="0" applyFont="1" applyBorder="1" applyAlignment="1">
      <alignment horizontal="center" vertical="center"/>
    </xf>
    <xf numFmtId="0" fontId="33" fillId="0" borderId="0" xfId="0" applyFont="1" applyAlignment="1">
      <alignment horizontal="center" vertical="center"/>
    </xf>
    <xf numFmtId="0" fontId="33" fillId="0" borderId="8" xfId="0" applyFont="1" applyBorder="1" applyAlignment="1">
      <alignment horizontal="center" vertical="center"/>
    </xf>
    <xf numFmtId="0" fontId="33" fillId="0" borderId="7" xfId="0" applyFont="1" applyBorder="1" applyAlignment="1">
      <alignment horizontal="center"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2" borderId="4" xfId="0" applyFont="1" applyFill="1" applyBorder="1" applyAlignment="1">
      <alignment horizontal="left" vertical="center"/>
    </xf>
    <xf numFmtId="0" fontId="33" fillId="2" borderId="43" xfId="0" applyFont="1" applyFill="1" applyBorder="1" applyAlignment="1">
      <alignment horizontal="left" vertical="center"/>
    </xf>
    <xf numFmtId="0" fontId="33" fillId="2" borderId="44" xfId="0" applyFont="1" applyFill="1" applyBorder="1" applyAlignment="1">
      <alignment horizontal="left" vertical="center"/>
    </xf>
    <xf numFmtId="164" fontId="33" fillId="0" borderId="0" xfId="0" applyNumberFormat="1" applyFont="1" applyAlignment="1">
      <alignment horizontal="center" vertical="center"/>
    </xf>
    <xf numFmtId="164" fontId="33" fillId="0" borderId="7" xfId="0" applyNumberFormat="1" applyFont="1" applyBorder="1" applyAlignment="1">
      <alignment horizontal="center" vertical="center"/>
    </xf>
    <xf numFmtId="164" fontId="33" fillId="0" borderId="8" xfId="0" applyNumberFormat="1" applyFont="1" applyBorder="1" applyAlignment="1">
      <alignment horizontal="center" vertical="center"/>
    </xf>
    <xf numFmtId="0" fontId="33" fillId="0" borderId="3" xfId="0" applyFont="1" applyBorder="1" applyAlignment="1">
      <alignment horizontal="left" vertical="center"/>
    </xf>
    <xf numFmtId="0" fontId="33" fillId="0" borderId="1" xfId="0" applyFont="1" applyBorder="1" applyAlignment="1">
      <alignment horizontal="center" vertical="center"/>
    </xf>
    <xf numFmtId="164" fontId="33" fillId="0" borderId="1" xfId="0" applyNumberFormat="1" applyFont="1" applyBorder="1" applyAlignment="1">
      <alignment horizontal="center" vertical="center"/>
    </xf>
    <xf numFmtId="0" fontId="33" fillId="0" borderId="44" xfId="0" applyFont="1" applyBorder="1" applyAlignment="1">
      <alignment horizontal="left" vertical="center"/>
    </xf>
    <xf numFmtId="0" fontId="33" fillId="0" borderId="53" xfId="0" applyFont="1" applyBorder="1" applyAlignment="1">
      <alignment horizontal="center" vertical="center"/>
    </xf>
    <xf numFmtId="0" fontId="33" fillId="0" borderId="43" xfId="0" applyFont="1" applyBorder="1" applyAlignment="1">
      <alignment horizontal="left" vertical="center"/>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3" fillId="2" borderId="3" xfId="0" applyFont="1" applyFill="1" applyBorder="1" applyAlignment="1">
      <alignment horizontal="left" vertical="center"/>
    </xf>
    <xf numFmtId="0" fontId="33" fillId="0" borderId="0" xfId="0" applyFont="1" applyAlignment="1">
      <alignment horizontal="left" vertical="center"/>
    </xf>
    <xf numFmtId="0" fontId="33" fillId="0" borderId="7" xfId="0" applyFont="1" applyBorder="1" applyAlignment="1">
      <alignment horizontal="left" vertical="center"/>
    </xf>
    <xf numFmtId="0" fontId="1" fillId="0" borderId="0" xfId="1" applyFont="1" applyAlignment="1">
      <alignment horizontal="left" wrapText="1"/>
    </xf>
    <xf numFmtId="0" fontId="13" fillId="0" borderId="57" xfId="0" applyFont="1" applyBorder="1" applyAlignment="1">
      <alignment horizontal="center" wrapText="1"/>
    </xf>
    <xf numFmtId="0" fontId="13" fillId="0" borderId="58" xfId="0" applyFont="1" applyBorder="1" applyAlignment="1">
      <alignment horizontal="center" wrapText="1"/>
    </xf>
    <xf numFmtId="0" fontId="13" fillId="0" borderId="35" xfId="0" applyFont="1" applyBorder="1" applyAlignment="1">
      <alignment horizontal="center" wrapText="1"/>
    </xf>
    <xf numFmtId="0" fontId="13" fillId="0" borderId="46" xfId="0" applyFont="1" applyBorder="1" applyAlignment="1">
      <alignment horizontal="center" wrapText="1"/>
    </xf>
    <xf numFmtId="0" fontId="13" fillId="0" borderId="40" xfId="0" applyFont="1" applyBorder="1" applyAlignment="1">
      <alignment horizontal="center" wrapText="1"/>
    </xf>
    <xf numFmtId="0" fontId="13" fillId="0" borderId="2" xfId="0" applyFont="1" applyBorder="1" applyAlignment="1">
      <alignment horizontal="center" wrapText="1"/>
    </xf>
    <xf numFmtId="0" fontId="13" fillId="0" borderId="19" xfId="0" applyFont="1" applyBorder="1" applyAlignment="1">
      <alignment horizontal="center" wrapText="1"/>
    </xf>
    <xf numFmtId="0" fontId="13" fillId="0" borderId="39" xfId="0" applyFont="1" applyBorder="1" applyAlignment="1">
      <alignment horizontal="center" wrapText="1"/>
    </xf>
    <xf numFmtId="0" fontId="11" fillId="6" borderId="0" xfId="0" applyFont="1" applyFill="1" applyAlignment="1">
      <alignment horizontal="left" wrapText="1"/>
    </xf>
    <xf numFmtId="0" fontId="33" fillId="2" borderId="16" xfId="0" applyFont="1" applyFill="1" applyBorder="1" applyAlignment="1">
      <alignment horizontal="left" vertical="center"/>
    </xf>
    <xf numFmtId="164" fontId="33" fillId="0" borderId="38" xfId="0" applyNumberFormat="1" applyFont="1" applyBorder="1" applyAlignment="1">
      <alignment horizontal="center" vertical="center"/>
    </xf>
    <xf numFmtId="0" fontId="33" fillId="0" borderId="43" xfId="0" applyFont="1" applyBorder="1" applyAlignment="1">
      <alignment horizontal="left" vertical="center" wrapText="1"/>
    </xf>
    <xf numFmtId="0" fontId="33" fillId="0" borderId="4" xfId="0" applyFont="1" applyBorder="1" applyAlignment="1">
      <alignment horizontal="left" vertical="center" wrapText="1"/>
    </xf>
    <xf numFmtId="0" fontId="33" fillId="0" borderId="0" xfId="0" applyFont="1" applyAlignment="1">
      <alignment horizontal="center" vertical="center" wrapText="1"/>
    </xf>
    <xf numFmtId="0" fontId="13" fillId="0" borderId="24" xfId="0" applyFont="1" applyBorder="1" applyAlignment="1">
      <alignment horizontal="center" wrapText="1"/>
    </xf>
    <xf numFmtId="0" fontId="13" fillId="0" borderId="59" xfId="0" applyFont="1" applyBorder="1" applyAlignment="1">
      <alignment horizontal="center" wrapText="1"/>
    </xf>
    <xf numFmtId="0" fontId="13" fillId="0" borderId="22" xfId="0" applyFont="1" applyBorder="1" applyAlignment="1">
      <alignment horizontal="center" wrapText="1"/>
    </xf>
    <xf numFmtId="0" fontId="13" fillId="0" borderId="60" xfId="0" applyFont="1" applyBorder="1" applyAlignment="1">
      <alignment horizontal="center" wrapText="1"/>
    </xf>
    <xf numFmtId="0" fontId="64" fillId="0" borderId="22" xfId="0" applyFont="1" applyBorder="1" applyAlignment="1">
      <alignment horizontal="center" wrapText="1"/>
    </xf>
    <xf numFmtId="0" fontId="64" fillId="0" borderId="60" xfId="0" applyFont="1" applyBorder="1" applyAlignment="1">
      <alignment horizontal="center" wrapText="1"/>
    </xf>
    <xf numFmtId="0" fontId="42" fillId="0" borderId="22" xfId="0" applyFont="1" applyBorder="1" applyAlignment="1">
      <alignment horizontal="center"/>
    </xf>
    <xf numFmtId="0" fontId="13" fillId="0" borderId="25" xfId="0" applyFont="1" applyBorder="1" applyAlignment="1">
      <alignment horizontal="center" wrapText="1"/>
    </xf>
    <xf numFmtId="0" fontId="13" fillId="0" borderId="61" xfId="0" applyFont="1" applyBorder="1" applyAlignment="1">
      <alignment horizontal="center" wrapText="1"/>
    </xf>
    <xf numFmtId="0" fontId="33" fillId="0" borderId="44" xfId="0" applyFont="1" applyBorder="1" applyAlignment="1">
      <alignment horizontal="left" vertical="center" wrapText="1"/>
    </xf>
    <xf numFmtId="0" fontId="33" fillId="0" borderId="3" xfId="0" applyFont="1" applyBorder="1" applyAlignment="1">
      <alignment horizontal="left" vertical="center" wrapText="1"/>
    </xf>
    <xf numFmtId="0" fontId="33" fillId="0" borderId="1" xfId="0" applyFont="1" applyBorder="1" applyAlignment="1">
      <alignment horizontal="center" vertical="center" wrapText="1"/>
    </xf>
    <xf numFmtId="0" fontId="11" fillId="0" borderId="0" xfId="0" applyFont="1" applyAlignment="1">
      <alignment horizontal="left" wrapText="1"/>
    </xf>
    <xf numFmtId="0" fontId="33" fillId="0" borderId="38" xfId="0" applyFont="1" applyBorder="1" applyAlignment="1">
      <alignment horizontal="left" vertical="center"/>
    </xf>
    <xf numFmtId="0" fontId="20" fillId="0" borderId="4" xfId="0" applyFont="1" applyBorder="1" applyAlignment="1">
      <alignment horizontal="left" vertical="center" wrapText="1"/>
    </xf>
    <xf numFmtId="0" fontId="20" fillId="0" borderId="44" xfId="0" applyFont="1" applyBorder="1" applyAlignment="1">
      <alignment horizontal="left"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43" xfId="0" applyFont="1" applyBorder="1" applyAlignment="1">
      <alignment horizontal="left" vertical="center" wrapText="1"/>
    </xf>
    <xf numFmtId="0" fontId="20" fillId="0" borderId="8" xfId="0" applyFont="1" applyBorder="1" applyAlignment="1">
      <alignment horizontal="center" vertical="center" wrapText="1"/>
    </xf>
    <xf numFmtId="0" fontId="13" fillId="0" borderId="24" xfId="0" applyFont="1" applyBorder="1" applyAlignment="1">
      <alignment horizontal="left" wrapText="1"/>
    </xf>
    <xf numFmtId="0" fontId="13" fillId="0" borderId="59" xfId="0" applyFont="1" applyBorder="1" applyAlignment="1">
      <alignment horizontal="left" wrapText="1"/>
    </xf>
    <xf numFmtId="0" fontId="33" fillId="0" borderId="43" xfId="0" applyFont="1" applyBorder="1" applyAlignment="1">
      <alignment vertical="center" wrapText="1"/>
    </xf>
    <xf numFmtId="0" fontId="33" fillId="0" borderId="4" xfId="0" applyFont="1" applyBorder="1" applyAlignment="1">
      <alignment vertical="center" wrapText="1"/>
    </xf>
    <xf numFmtId="0" fontId="11" fillId="6" borderId="0" xfId="0" applyFont="1" applyFill="1" applyAlignment="1">
      <alignment wrapText="1"/>
    </xf>
    <xf numFmtId="0" fontId="33" fillId="0" borderId="16" xfId="0" applyFont="1" applyBorder="1" applyAlignment="1">
      <alignment horizontal="left" vertical="center" wrapText="1"/>
    </xf>
    <xf numFmtId="0" fontId="33" fillId="0" borderId="38" xfId="0" applyFont="1" applyBorder="1" applyAlignment="1">
      <alignment horizontal="center" vertical="center" wrapText="1"/>
    </xf>
    <xf numFmtId="0" fontId="33" fillId="0" borderId="0" xfId="8" applyFont="1" applyAlignment="1">
      <alignment horizontal="center" vertical="center" wrapText="1"/>
    </xf>
    <xf numFmtId="0" fontId="33" fillId="0" borderId="43" xfId="8" applyFont="1" applyBorder="1" applyAlignment="1">
      <alignment horizontal="left" vertical="center" wrapText="1"/>
    </xf>
    <xf numFmtId="0" fontId="33" fillId="0" borderId="44" xfId="8" applyFont="1" applyBorder="1" applyAlignment="1">
      <alignment horizontal="left" vertical="center" wrapText="1"/>
    </xf>
    <xf numFmtId="0" fontId="33" fillId="0" borderId="8" xfId="8" applyFont="1" applyBorder="1" applyAlignment="1">
      <alignment horizontal="center" vertical="center" wrapText="1"/>
    </xf>
    <xf numFmtId="0" fontId="33" fillId="0" borderId="7" xfId="8" applyFont="1" applyBorder="1" applyAlignment="1">
      <alignment horizontal="center" vertical="center" wrapText="1"/>
    </xf>
    <xf numFmtId="0" fontId="33" fillId="0" borderId="8" xfId="8" applyFont="1" applyBorder="1" applyAlignment="1">
      <alignment horizontal="center" vertical="center"/>
    </xf>
    <xf numFmtId="0" fontId="33" fillId="0" borderId="7" xfId="8" applyFont="1" applyBorder="1" applyAlignment="1">
      <alignment horizontal="center" vertical="center"/>
    </xf>
    <xf numFmtId="0" fontId="33" fillId="0" borderId="4" xfId="8" applyFont="1" applyBorder="1" applyAlignment="1">
      <alignment horizontal="left" vertical="center" wrapText="1"/>
    </xf>
    <xf numFmtId="0" fontId="33" fillId="0" borderId="0" xfId="8" applyFont="1" applyAlignment="1">
      <alignment horizontal="center" vertical="center"/>
    </xf>
    <xf numFmtId="0" fontId="20" fillId="0" borderId="38" xfId="0" applyFont="1" applyBorder="1" applyAlignment="1">
      <alignment horizontal="left" vertical="center" wrapText="1"/>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33" fillId="0" borderId="3" xfId="8" applyFont="1" applyBorder="1" applyAlignment="1">
      <alignment horizontal="left" vertical="center" wrapText="1"/>
    </xf>
    <xf numFmtId="0" fontId="33" fillId="0" borderId="1" xfId="8" applyFont="1" applyBorder="1" applyAlignment="1">
      <alignment horizontal="center" vertical="center" wrapText="1"/>
    </xf>
    <xf numFmtId="0" fontId="33" fillId="0" borderId="1" xfId="8" applyFont="1" applyBorder="1" applyAlignment="1">
      <alignment horizontal="center" vertical="center"/>
    </xf>
    <xf numFmtId="0" fontId="42" fillId="0" borderId="25" xfId="8" applyFont="1" applyBorder="1" applyAlignment="1">
      <alignment horizontal="center" wrapText="1"/>
    </xf>
    <xf numFmtId="0" fontId="42" fillId="0" borderId="27" xfId="8" applyFont="1" applyBorder="1" applyAlignment="1">
      <alignment horizontal="center" wrapText="1"/>
    </xf>
    <xf numFmtId="0" fontId="42" fillId="0" borderId="22" xfId="8" applyFont="1" applyBorder="1" applyAlignment="1">
      <alignment horizontal="center"/>
    </xf>
    <xf numFmtId="0" fontId="13" fillId="0" borderId="22" xfId="8" applyFont="1" applyBorder="1" applyAlignment="1">
      <alignment horizontal="center" wrapText="1"/>
    </xf>
    <xf numFmtId="0" fontId="13" fillId="0" borderId="21" xfId="8" applyFont="1" applyBorder="1" applyAlignment="1">
      <alignment horizontal="center" wrapText="1"/>
    </xf>
    <xf numFmtId="0" fontId="13" fillId="0" borderId="24" xfId="8" applyFont="1" applyBorder="1" applyAlignment="1">
      <alignment horizontal="center" wrapText="1"/>
    </xf>
    <xf numFmtId="0" fontId="13" fillId="0" borderId="26" xfId="8" applyFont="1" applyBorder="1" applyAlignment="1">
      <alignment horizontal="center" wrapText="1"/>
    </xf>
    <xf numFmtId="0" fontId="16" fillId="0" borderId="0" xfId="1" applyAlignment="1">
      <alignment horizontal="left" vertical="center" wrapText="1"/>
    </xf>
    <xf numFmtId="0" fontId="20" fillId="0" borderId="38" xfId="0" applyFont="1" applyBorder="1" applyAlignment="1">
      <alignment horizontal="center" vertical="center" wrapText="1"/>
    </xf>
    <xf numFmtId="0" fontId="20" fillId="0" borderId="8" xfId="0" applyFont="1" applyBorder="1" applyAlignment="1">
      <alignment horizontal="left" vertical="center" wrapText="1"/>
    </xf>
    <xf numFmtId="0" fontId="33" fillId="0" borderId="16" xfId="8" applyFont="1" applyBorder="1" applyAlignment="1">
      <alignment horizontal="left" vertical="center" wrapText="1"/>
    </xf>
    <xf numFmtId="0" fontId="33" fillId="0" borderId="38" xfId="8" applyFont="1" applyBorder="1" applyAlignment="1">
      <alignment horizontal="center" vertical="center" wrapText="1"/>
    </xf>
    <xf numFmtId="0" fontId="33" fillId="0" borderId="38" xfId="8" applyFont="1" applyBorder="1" applyAlignment="1">
      <alignment horizontal="center" vertical="center"/>
    </xf>
    <xf numFmtId="0" fontId="11" fillId="4" borderId="0" xfId="0" applyFont="1" applyFill="1" applyAlignment="1">
      <alignment horizontal="left"/>
    </xf>
    <xf numFmtId="0" fontId="33" fillId="0" borderId="43" xfId="8" applyFont="1" applyBorder="1" applyAlignment="1">
      <alignment horizontal="left" vertical="center"/>
    </xf>
    <xf numFmtId="0" fontId="33" fillId="0" borderId="44" xfId="8" applyFont="1" applyBorder="1" applyAlignment="1">
      <alignment horizontal="left" vertical="center"/>
    </xf>
    <xf numFmtId="0" fontId="33" fillId="0" borderId="4" xfId="8" applyFont="1" applyBorder="1" applyAlignment="1">
      <alignment horizontal="left" vertical="center"/>
    </xf>
    <xf numFmtId="0" fontId="13" fillId="0" borderId="26" xfId="0" applyFont="1" applyBorder="1" applyAlignment="1">
      <alignment horizontal="center" wrapText="1"/>
    </xf>
    <xf numFmtId="0" fontId="13" fillId="0" borderId="21" xfId="0" applyFont="1" applyBorder="1" applyAlignment="1">
      <alignment horizontal="center" wrapText="1"/>
    </xf>
    <xf numFmtId="0" fontId="16" fillId="0" borderId="0" xfId="1" applyAlignment="1">
      <alignment horizontal="left" wrapText="1"/>
    </xf>
    <xf numFmtId="0" fontId="20" fillId="0" borderId="16" xfId="0" applyFont="1" applyBorder="1" applyAlignment="1">
      <alignment horizontal="left" vertical="center" wrapText="1"/>
    </xf>
    <xf numFmtId="0" fontId="33" fillId="0" borderId="38" xfId="0" applyFont="1" applyBorder="1" applyAlignment="1">
      <alignment horizontal="center" wrapText="1"/>
    </xf>
    <xf numFmtId="0" fontId="33" fillId="0" borderId="0" xfId="0" applyFont="1" applyAlignment="1">
      <alignment horizontal="center" wrapText="1"/>
    </xf>
    <xf numFmtId="0" fontId="1" fillId="0" borderId="0" xfId="1" applyFont="1" applyAlignment="1">
      <alignment horizontal="left" vertical="center" wrapText="1"/>
    </xf>
    <xf numFmtId="0" fontId="33" fillId="0" borderId="0" xfId="0" applyFont="1" applyAlignment="1">
      <alignment horizontal="left" vertical="center" wrapText="1"/>
    </xf>
    <xf numFmtId="0" fontId="33" fillId="0" borderId="7" xfId="0" applyFont="1" applyBorder="1" applyAlignment="1">
      <alignment horizontal="left" vertical="center" wrapText="1"/>
    </xf>
    <xf numFmtId="0" fontId="20" fillId="0" borderId="0" xfId="8" applyFont="1" applyAlignment="1">
      <alignment horizontal="left" vertical="center" wrapText="1"/>
    </xf>
    <xf numFmtId="0" fontId="33" fillId="0" borderId="38" xfId="0" applyFont="1" applyBorder="1" applyAlignment="1">
      <alignment horizontal="left" vertical="center" wrapText="1"/>
    </xf>
    <xf numFmtId="0" fontId="27" fillId="0" borderId="23" xfId="0" applyFont="1" applyBorder="1" applyAlignment="1">
      <alignment horizontal="center" vertical="center" wrapText="1"/>
    </xf>
    <xf numFmtId="0" fontId="13" fillId="0" borderId="63" xfId="0" applyFont="1" applyBorder="1" applyAlignment="1">
      <alignment horizontal="center" wrapText="1"/>
    </xf>
    <xf numFmtId="0" fontId="27" fillId="0" borderId="40" xfId="0" applyFont="1" applyBorder="1" applyAlignment="1">
      <alignment horizontal="center" vertical="center" wrapText="1"/>
    </xf>
    <xf numFmtId="0" fontId="27" fillId="0" borderId="2" xfId="0" applyFont="1" applyBorder="1" applyAlignment="1">
      <alignment horizontal="center" vertical="center" wrapText="1"/>
    </xf>
    <xf numFmtId="0" fontId="13" fillId="0" borderId="53" xfId="0" applyFont="1" applyBorder="1" applyAlignment="1">
      <alignment wrapText="1"/>
    </xf>
    <xf numFmtId="0" fontId="13" fillId="0" borderId="41" xfId="0" applyFont="1" applyBorder="1" applyAlignment="1">
      <alignment wrapText="1"/>
    </xf>
    <xf numFmtId="0" fontId="64" fillId="0" borderId="21" xfId="0" applyFont="1" applyBorder="1" applyAlignment="1">
      <alignment horizontal="center" wrapText="1"/>
    </xf>
    <xf numFmtId="0" fontId="11" fillId="7" borderId="0" xfId="0" applyFont="1" applyFill="1" applyAlignment="1">
      <alignment horizontal="left"/>
    </xf>
    <xf numFmtId="0" fontId="33" fillId="0" borderId="44" xfId="0" applyFont="1" applyBorder="1" applyAlignment="1">
      <alignment vertical="center" wrapText="1"/>
    </xf>
    <xf numFmtId="0" fontId="13" fillId="0" borderId="7" xfId="0" applyFont="1" applyBorder="1" applyAlignment="1">
      <alignment horizontal="center"/>
    </xf>
  </cellXfs>
  <cellStyles count="14">
    <cellStyle name="Excel Built-in Normal" xfId="6" xr:uid="{00000000-0005-0000-0000-000000000000}"/>
    <cellStyle name="Hyperlink" xfId="11" builtinId="8"/>
    <cellStyle name="Hyperlink 2" xfId="13" xr:uid="{A9360465-B0D6-42CE-A83F-76EEC6C9CC85}"/>
    <cellStyle name="Normal" xfId="0" builtinId="0"/>
    <cellStyle name="Normal 2" xfId="1" xr:uid="{00000000-0005-0000-0000-000002000000}"/>
    <cellStyle name="Normal 2 2" xfId="12" xr:uid="{65F6FFDB-BA42-4B66-A6C3-9A8DECBE7E5A}"/>
    <cellStyle name="Normal 3" xfId="2" xr:uid="{00000000-0005-0000-0000-000003000000}"/>
    <cellStyle name="Normal 3 2" xfId="5" xr:uid="{00000000-0005-0000-0000-000004000000}"/>
    <cellStyle name="Normal 3 2 2" xfId="9" xr:uid="{39955B45-893C-4128-ADB0-F3E47A2F7119}"/>
    <cellStyle name="Normal 4" xfId="4" xr:uid="{00000000-0005-0000-0000-000005000000}"/>
    <cellStyle name="Normal 5" xfId="3" xr:uid="{00000000-0005-0000-0000-000006000000}"/>
    <cellStyle name="Normal 6" xfId="7" xr:uid="{13D12ECD-CF47-4E40-81B5-9EE44FE1E0CF}"/>
    <cellStyle name="Normal 7" xfId="8" xr:uid="{03D18885-943F-48B8-93DF-075640E292E9}"/>
    <cellStyle name="Normal 8" xfId="10" xr:uid="{E8AC86AD-A237-40D4-A24C-1E9C89F209C3}"/>
  </cellStyles>
  <dxfs count="310">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numFmt numFmtId="2" formatCode="0.00"/>
    </dxf>
    <dxf>
      <numFmt numFmtId="164" formatCode="0.0"/>
    </dxf>
    <dxf>
      <numFmt numFmtId="169" formatCode="0.0E+00"/>
    </dxf>
    <dxf>
      <numFmt numFmtId="169" formatCode="0.0E+00"/>
    </dxf>
    <dxf>
      <numFmt numFmtId="1" formatCode="0"/>
    </dxf>
    <dxf>
      <numFmt numFmtId="169" formatCode="0.0E+00"/>
    </dxf>
    <dxf>
      <numFmt numFmtId="169" formatCode="0.0E+00"/>
    </dxf>
    <dxf>
      <numFmt numFmtId="164" formatCode="0.0"/>
    </dxf>
    <dxf>
      <numFmt numFmtId="2" formatCode="0.00"/>
    </dxf>
    <dxf>
      <numFmt numFmtId="1" formatCode="0"/>
    </dxf>
    <dxf>
      <numFmt numFmtId="169" formatCode="0.0E+00"/>
    </dxf>
    <dxf>
      <numFmt numFmtId="169" formatCode="0.0E+00"/>
    </dxf>
    <dxf>
      <numFmt numFmtId="1" formatCode="0"/>
    </dxf>
    <dxf>
      <numFmt numFmtId="164" formatCode="0.0"/>
    </dxf>
    <dxf>
      <numFmt numFmtId="2" formatCode="0.00"/>
    </dxf>
    <dxf>
      <numFmt numFmtId="164" formatCode="0.0"/>
    </dxf>
    <dxf>
      <numFmt numFmtId="169" formatCode="0.0E+00"/>
    </dxf>
    <dxf>
      <numFmt numFmtId="169" formatCode="0.0E+00"/>
    </dxf>
    <dxf>
      <numFmt numFmtId="1" formatCode="0"/>
    </dxf>
    <dxf>
      <numFmt numFmtId="2" formatCode="0.00"/>
    </dxf>
    <dxf>
      <numFmt numFmtId="164" formatCode="0.0"/>
    </dxf>
    <dxf>
      <numFmt numFmtId="2" formatCode="0.00"/>
    </dxf>
    <dxf>
      <numFmt numFmtId="169" formatCode="0.0E+00"/>
    </dxf>
    <dxf>
      <numFmt numFmtId="169" formatCode="0.0E+00"/>
    </dxf>
    <dxf>
      <numFmt numFmtId="1" formatCode="0"/>
    </dxf>
    <dxf>
      <numFmt numFmtId="169" formatCode="0.0E+00"/>
    </dxf>
    <dxf>
      <numFmt numFmtId="169" formatCode="0.0E+00"/>
    </dxf>
    <dxf>
      <numFmt numFmtId="164" formatCode="0.0"/>
    </dxf>
    <dxf>
      <numFmt numFmtId="1" formatCode="0"/>
    </dxf>
    <dxf>
      <numFmt numFmtId="2" formatCode="0.00"/>
    </dxf>
    <dxf>
      <numFmt numFmtId="2" formatCode="0.00"/>
    </dxf>
    <dxf>
      <font>
        <strike val="0"/>
      </font>
      <fill>
        <patternFill>
          <bgColor rgb="FFFFC000"/>
        </patternFill>
      </fill>
    </dxf>
    <dxf>
      <numFmt numFmtId="1" formatCode="0"/>
    </dxf>
    <dxf>
      <numFmt numFmtId="164" formatCode="0.0"/>
    </dxf>
    <dxf>
      <numFmt numFmtId="169" formatCode="0.0E+00"/>
    </dxf>
    <dxf>
      <numFmt numFmtId="169" formatCode="0.0E+00"/>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numFmt numFmtId="169" formatCode="0.0E+00"/>
    </dxf>
    <dxf>
      <numFmt numFmtId="169" formatCode="0.0E+00"/>
    </dxf>
    <dxf>
      <numFmt numFmtId="1" formatCode="0"/>
    </dxf>
    <dxf>
      <numFmt numFmtId="164" formatCode="0.0"/>
    </dxf>
    <dxf>
      <numFmt numFmtId="2" formatCode="0.00"/>
    </dxf>
    <dxf>
      <numFmt numFmtId="1" formatCode="0"/>
    </dxf>
    <dxf>
      <numFmt numFmtId="169" formatCode="0.0E+00"/>
    </dxf>
    <dxf>
      <numFmt numFmtId="169" formatCode="0.0E+00"/>
    </dxf>
    <dxf>
      <numFmt numFmtId="164" formatCode="0.0"/>
    </dxf>
    <dxf>
      <numFmt numFmtId="2" formatCode="0.00"/>
    </dxf>
    <dxf>
      <numFmt numFmtId="2" formatCode="0.00"/>
    </dxf>
    <dxf>
      <numFmt numFmtId="169" formatCode="0.0E+00"/>
    </dxf>
    <dxf>
      <numFmt numFmtId="1" formatCode="0"/>
    </dxf>
    <dxf>
      <numFmt numFmtId="169" formatCode="0.0E+00"/>
    </dxf>
    <dxf>
      <numFmt numFmtId="164" formatCode="0.0"/>
    </dxf>
    <dxf>
      <font>
        <strike val="0"/>
      </font>
      <fill>
        <patternFill>
          <bgColor rgb="FFFFC000"/>
        </patternFill>
      </fill>
    </dxf>
    <dxf>
      <numFmt numFmtId="2" formatCode="0.00"/>
    </dxf>
    <dxf>
      <numFmt numFmtId="164" formatCode="0.0"/>
    </dxf>
    <dxf>
      <numFmt numFmtId="1" formatCode="0"/>
    </dxf>
    <dxf>
      <numFmt numFmtId="169" formatCode="0.0E+00"/>
    </dxf>
    <dxf>
      <numFmt numFmtId="169" formatCode="0.0E+00"/>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numFmt numFmtId="169" formatCode="0.0E+00"/>
    </dxf>
    <dxf>
      <numFmt numFmtId="169" formatCode="0.0E+00"/>
    </dxf>
    <dxf>
      <numFmt numFmtId="1" formatCode="0"/>
    </dxf>
    <dxf>
      <numFmt numFmtId="164" formatCode="0.0"/>
    </dxf>
    <dxf>
      <numFmt numFmtId="2" formatCode="0.00"/>
    </dxf>
    <dxf>
      <numFmt numFmtId="2" formatCode="0.00"/>
    </dxf>
    <dxf>
      <numFmt numFmtId="164" formatCode="0.0"/>
    </dxf>
    <dxf>
      <numFmt numFmtId="1" formatCode="0"/>
    </dxf>
    <dxf>
      <numFmt numFmtId="169" formatCode="0.0E+00"/>
    </dxf>
    <dxf>
      <numFmt numFmtId="169" formatCode="0.0E+00"/>
    </dxf>
    <dxf>
      <numFmt numFmtId="164" formatCode="0.0"/>
    </dxf>
    <dxf>
      <numFmt numFmtId="1" formatCode="0"/>
    </dxf>
    <dxf>
      <numFmt numFmtId="169" formatCode="0.0E+00"/>
    </dxf>
    <dxf>
      <numFmt numFmtId="169" formatCode="0.0E+00"/>
    </dxf>
    <dxf>
      <numFmt numFmtId="2" formatCode="0.00"/>
    </dxf>
    <dxf>
      <numFmt numFmtId="1" formatCode="0"/>
    </dxf>
    <dxf>
      <numFmt numFmtId="169" formatCode="0.0E+00"/>
    </dxf>
    <dxf>
      <numFmt numFmtId="2" formatCode="0.00"/>
    </dxf>
    <dxf>
      <numFmt numFmtId="169" formatCode="0.0E+00"/>
    </dxf>
    <dxf>
      <numFmt numFmtId="164" formatCode="0.0"/>
    </dxf>
    <dxf>
      <numFmt numFmtId="2" formatCode="0.00"/>
    </dxf>
    <dxf>
      <numFmt numFmtId="164" formatCode="0.0"/>
    </dxf>
    <dxf>
      <numFmt numFmtId="1" formatCode="0"/>
    </dxf>
    <dxf>
      <numFmt numFmtId="169" formatCode="0.0E+00"/>
    </dxf>
    <dxf>
      <numFmt numFmtId="169" formatCode="0.0E+00"/>
    </dxf>
    <dxf>
      <numFmt numFmtId="169" formatCode="0.0E+00"/>
    </dxf>
    <dxf>
      <numFmt numFmtId="169" formatCode="0.0E+00"/>
    </dxf>
    <dxf>
      <numFmt numFmtId="1" formatCode="0"/>
    </dxf>
    <dxf>
      <numFmt numFmtId="164" formatCode="0.0"/>
    </dxf>
    <dxf>
      <numFmt numFmtId="2" formatCode="0.00"/>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numFmt numFmtId="169" formatCode="0.0E+00"/>
    </dxf>
    <dxf>
      <numFmt numFmtId="169" formatCode="0.0E+00"/>
    </dxf>
    <dxf>
      <numFmt numFmtId="1" formatCode="0"/>
    </dxf>
    <dxf>
      <numFmt numFmtId="164" formatCode="0.0"/>
    </dxf>
    <dxf>
      <numFmt numFmtId="2" formatCode="0.00"/>
    </dxf>
    <dxf>
      <numFmt numFmtId="1" formatCode="0"/>
    </dxf>
    <dxf>
      <numFmt numFmtId="164" formatCode="0.0"/>
    </dxf>
    <dxf>
      <numFmt numFmtId="2" formatCode="0.00"/>
    </dxf>
    <dxf>
      <numFmt numFmtId="169" formatCode="0.0E+00"/>
    </dxf>
    <dxf>
      <numFmt numFmtId="169" formatCode="0.0E+00"/>
    </dxf>
    <dxf>
      <numFmt numFmtId="2" formatCode="0.00"/>
    </dxf>
    <dxf>
      <numFmt numFmtId="164" formatCode="0.0"/>
    </dxf>
    <dxf>
      <numFmt numFmtId="1" formatCode="0"/>
    </dxf>
    <dxf>
      <numFmt numFmtId="169" formatCode="0.0E+00"/>
    </dxf>
    <dxf>
      <numFmt numFmtId="169" formatCode="0.0E+00"/>
    </dxf>
    <dxf>
      <numFmt numFmtId="1" formatCode="0"/>
    </dxf>
    <dxf>
      <numFmt numFmtId="169" formatCode="0.0E+00"/>
    </dxf>
    <dxf>
      <numFmt numFmtId="169" formatCode="0.0E+00"/>
    </dxf>
    <dxf>
      <numFmt numFmtId="2" formatCode="0.00"/>
    </dxf>
    <dxf>
      <numFmt numFmtId="164" formatCode="0.0"/>
    </dxf>
    <dxf>
      <numFmt numFmtId="169" formatCode="0.0E+00"/>
    </dxf>
    <dxf>
      <numFmt numFmtId="2" formatCode="0.00"/>
    </dxf>
    <dxf>
      <numFmt numFmtId="164" formatCode="0.0"/>
    </dxf>
    <dxf>
      <numFmt numFmtId="1" formatCode="0"/>
    </dxf>
    <dxf>
      <numFmt numFmtId="169" formatCode="0.0E+00"/>
    </dxf>
    <dxf>
      <font>
        <strike val="0"/>
      </font>
      <fill>
        <patternFill>
          <bgColor rgb="FFFFC000"/>
        </patternFill>
      </fill>
    </dxf>
    <dxf>
      <numFmt numFmtId="169" formatCode="0.0E+00"/>
    </dxf>
    <dxf>
      <numFmt numFmtId="2" formatCode="0.00"/>
    </dxf>
    <dxf>
      <numFmt numFmtId="164" formatCode="0.0"/>
    </dxf>
    <dxf>
      <numFmt numFmtId="1" formatCode="0"/>
    </dxf>
    <dxf>
      <numFmt numFmtId="169" formatCode="0.0E+00"/>
    </dxf>
    <dxf>
      <numFmt numFmtId="2" formatCode="0.00"/>
    </dxf>
    <dxf>
      <numFmt numFmtId="164" formatCode="0.0"/>
    </dxf>
    <dxf>
      <numFmt numFmtId="169" formatCode="0.0E+00"/>
    </dxf>
    <dxf>
      <numFmt numFmtId="169" formatCode="0.0E+00"/>
    </dxf>
    <dxf>
      <numFmt numFmtId="1" formatCode="0"/>
    </dxf>
    <dxf>
      <numFmt numFmtId="169" formatCode="0.0E+00"/>
    </dxf>
    <dxf>
      <numFmt numFmtId="169" formatCode="0.0E+00"/>
    </dxf>
    <dxf>
      <numFmt numFmtId="1" formatCode="0"/>
    </dxf>
    <dxf>
      <numFmt numFmtId="2" formatCode="0.00"/>
    </dxf>
    <dxf>
      <numFmt numFmtId="164" formatCode="0.0"/>
    </dxf>
    <dxf>
      <numFmt numFmtId="2" formatCode="0.00"/>
    </dxf>
    <dxf>
      <numFmt numFmtId="164" formatCode="0.0"/>
    </dxf>
    <dxf>
      <numFmt numFmtId="1" formatCode="0"/>
    </dxf>
    <dxf>
      <numFmt numFmtId="169" formatCode="0.0E+00"/>
    </dxf>
    <dxf>
      <numFmt numFmtId="169" formatCode="0.0E+00"/>
    </dxf>
    <dxf>
      <font>
        <strike val="0"/>
      </font>
      <fill>
        <patternFill>
          <bgColor rgb="FFFFC000"/>
        </patternFill>
      </fill>
    </dxf>
    <dxf>
      <numFmt numFmtId="2" formatCode="0.00"/>
    </dxf>
    <dxf>
      <numFmt numFmtId="164" formatCode="0.0"/>
    </dxf>
    <dxf>
      <numFmt numFmtId="1" formatCode="0"/>
    </dxf>
    <dxf>
      <numFmt numFmtId="169" formatCode="0.0E+00"/>
    </dxf>
    <dxf>
      <numFmt numFmtId="169" formatCode="0.0E+00"/>
    </dxf>
    <dxf>
      <numFmt numFmtId="169" formatCode="0.0E+00"/>
    </dxf>
    <dxf>
      <numFmt numFmtId="169" formatCode="0.0E+00"/>
    </dxf>
    <dxf>
      <numFmt numFmtId="1" formatCode="0"/>
    </dxf>
    <dxf>
      <numFmt numFmtId="2" formatCode="0.00"/>
    </dxf>
    <dxf>
      <numFmt numFmtId="164" formatCode="0.0"/>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numFmt numFmtId="2" formatCode="0.00"/>
    </dxf>
    <dxf>
      <numFmt numFmtId="164" formatCode="0.0"/>
    </dxf>
    <dxf>
      <numFmt numFmtId="1" formatCode="0"/>
    </dxf>
    <dxf>
      <numFmt numFmtId="169" formatCode="0.0E+00"/>
    </dxf>
    <dxf>
      <numFmt numFmtId="169" formatCode="0.0E+00"/>
    </dxf>
    <dxf>
      <numFmt numFmtId="2" formatCode="0.00"/>
    </dxf>
    <dxf>
      <numFmt numFmtId="164" formatCode="0.0"/>
    </dxf>
    <dxf>
      <numFmt numFmtId="1" formatCode="0"/>
    </dxf>
    <dxf>
      <numFmt numFmtId="169" formatCode="0.0E+00"/>
    </dxf>
    <dxf>
      <numFmt numFmtId="169" formatCode="0.0E+00"/>
    </dxf>
    <dxf>
      <numFmt numFmtId="169" formatCode="0.0E+00"/>
    </dxf>
    <dxf>
      <numFmt numFmtId="169" formatCode="0.0E+00"/>
    </dxf>
    <dxf>
      <numFmt numFmtId="1" formatCode="0"/>
    </dxf>
    <dxf>
      <numFmt numFmtId="164" formatCode="0.0"/>
    </dxf>
    <dxf>
      <numFmt numFmtId="2" formatCode="0.00"/>
    </dxf>
    <dxf>
      <numFmt numFmtId="1" formatCode="0"/>
    </dxf>
    <dxf>
      <numFmt numFmtId="169" formatCode="0.0E+00"/>
    </dxf>
    <dxf>
      <numFmt numFmtId="169" formatCode="0.0E+00"/>
    </dxf>
    <dxf>
      <numFmt numFmtId="2" formatCode="0.00"/>
    </dxf>
    <dxf>
      <numFmt numFmtId="164" formatCode="0.0"/>
    </dxf>
    <dxf>
      <numFmt numFmtId="169" formatCode="0.0E+00"/>
    </dxf>
    <dxf>
      <numFmt numFmtId="169" formatCode="0.0E+00"/>
    </dxf>
    <dxf>
      <numFmt numFmtId="1" formatCode="0"/>
    </dxf>
    <dxf>
      <numFmt numFmtId="164" formatCode="0.0"/>
    </dxf>
    <dxf>
      <numFmt numFmtId="2" formatCode="0.00"/>
    </dxf>
    <dxf>
      <numFmt numFmtId="169" formatCode="0.0E+00"/>
    </dxf>
    <dxf>
      <numFmt numFmtId="1" formatCode="0"/>
    </dxf>
    <dxf>
      <numFmt numFmtId="2" formatCode="0.00"/>
    </dxf>
    <dxf>
      <numFmt numFmtId="1" formatCode="0"/>
    </dxf>
    <dxf>
      <numFmt numFmtId="169" formatCode="0.0E+00"/>
    </dxf>
    <dxf>
      <numFmt numFmtId="169" formatCode="0.0E+00"/>
    </dxf>
    <dxf>
      <numFmt numFmtId="164" formatCode="0.0"/>
    </dxf>
    <dxf>
      <numFmt numFmtId="164" formatCode="0.0"/>
    </dxf>
    <dxf>
      <numFmt numFmtId="169" formatCode="0.0E+00"/>
    </dxf>
    <dxf>
      <numFmt numFmtId="169" formatCode="0.0E+00"/>
    </dxf>
    <dxf>
      <numFmt numFmtId="1" formatCode="0"/>
    </dxf>
    <dxf>
      <numFmt numFmtId="2" formatCode="0.00"/>
    </dxf>
    <dxf>
      <numFmt numFmtId="2" formatCode="0.00"/>
    </dxf>
    <dxf>
      <numFmt numFmtId="169" formatCode="0.0E+00"/>
    </dxf>
    <dxf>
      <numFmt numFmtId="164" formatCode="0.0"/>
    </dxf>
    <dxf>
      <numFmt numFmtId="169" formatCode="0.0E+00"/>
    </dxf>
    <dxf>
      <numFmt numFmtId="1" formatCode="0"/>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numFmt numFmtId="2" formatCode="0.00"/>
    </dxf>
    <dxf>
      <numFmt numFmtId="164" formatCode="0.0"/>
    </dxf>
    <dxf>
      <numFmt numFmtId="1" formatCode="0"/>
    </dxf>
    <dxf>
      <numFmt numFmtId="169" formatCode="0.0E+00"/>
    </dxf>
    <dxf>
      <numFmt numFmtId="169" formatCode="0.0E+00"/>
    </dxf>
    <dxf>
      <numFmt numFmtId="1" formatCode="0"/>
    </dxf>
    <dxf>
      <numFmt numFmtId="164" formatCode="0.0"/>
    </dxf>
    <dxf>
      <numFmt numFmtId="2" formatCode="0.00"/>
    </dxf>
    <dxf>
      <numFmt numFmtId="169" formatCode="0.0E+00"/>
    </dxf>
    <dxf>
      <numFmt numFmtId="169" formatCode="0.0E+00"/>
    </dxf>
    <dxf>
      <numFmt numFmtId="2" formatCode="0.00"/>
    </dxf>
    <dxf>
      <numFmt numFmtId="164" formatCode="0.0"/>
    </dxf>
    <dxf>
      <numFmt numFmtId="1" formatCode="0"/>
    </dxf>
    <dxf>
      <numFmt numFmtId="169" formatCode="0.0E+00"/>
    </dxf>
    <dxf>
      <numFmt numFmtId="169" formatCode="0.0E+00"/>
    </dxf>
    <dxf>
      <numFmt numFmtId="2" formatCode="0.00"/>
    </dxf>
    <dxf>
      <numFmt numFmtId="169" formatCode="0.0E+00"/>
    </dxf>
    <dxf>
      <numFmt numFmtId="169" formatCode="0.0E+00"/>
    </dxf>
    <dxf>
      <numFmt numFmtId="1" formatCode="0"/>
    </dxf>
    <dxf>
      <numFmt numFmtId="164" formatCode="0.0"/>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numFmt numFmtId="169" formatCode="0.0E+00"/>
    </dxf>
    <dxf>
      <numFmt numFmtId="169" formatCode="0.0E+00"/>
    </dxf>
    <dxf>
      <numFmt numFmtId="1" formatCode="0"/>
    </dxf>
    <dxf>
      <numFmt numFmtId="164" formatCode="0.0"/>
    </dxf>
    <dxf>
      <numFmt numFmtId="2" formatCode="0.00"/>
    </dxf>
    <dxf>
      <numFmt numFmtId="169" formatCode="0.0E+00"/>
    </dxf>
    <dxf>
      <numFmt numFmtId="169" formatCode="0.0E+00"/>
    </dxf>
    <dxf>
      <numFmt numFmtId="1" formatCode="0"/>
    </dxf>
    <dxf>
      <numFmt numFmtId="164" formatCode="0.0"/>
    </dxf>
    <dxf>
      <numFmt numFmtId="2" formatCode="0.00"/>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s>
  <tableStyles count="0" defaultTableStyle="TableStyleMedium9" defaultPivotStyle="PivotStyleMedium7"/>
  <colors>
    <mruColors>
      <color rgb="FFCC3399"/>
      <color rgb="FFFD0F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trcteams.sharepoint.com/sites/ITRCPFAS/Shared%20Documents/External%20Tables/Physical%20and%20Chemical%20Properties%20Table/PhysChemProp_Table_July2023.xlsx" TargetMode="External"/><Relationship Id="rId1" Type="http://schemas.openxmlformats.org/officeDocument/2006/relationships/externalLinkPath" Target="https://itrcteams.sharepoint.com/sites/ITRCPFAS/Shared%20Documents/External%20Tables/Physical%20and%20Chemical%20Properties%20Table/PhysChemProp_Table_July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Main Table"/>
      <sheetName val="Solubility (S)"/>
      <sheetName val="Vapor Pressure (VP)"/>
      <sheetName val="Henry's Constant (KH)"/>
      <sheetName val="Critical Micelle Conc. (CMC)"/>
      <sheetName val="Log Koc"/>
      <sheetName val="pKa"/>
      <sheetName val="References"/>
      <sheetName val="Constant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fas-1.itrcweb.org/" TargetMode="External"/><Relationship Id="rId1" Type="http://schemas.openxmlformats.org/officeDocument/2006/relationships/hyperlink" Target="http://pfas-1.itrcweb.org/about-itrc/"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A152A-3B6C-41D4-8ADC-2441C6AC4E45}">
  <sheetPr>
    <tabColor rgb="FF92D050"/>
  </sheetPr>
  <dimension ref="B3:N22"/>
  <sheetViews>
    <sheetView zoomScale="90" zoomScaleNormal="90" workbookViewId="0">
      <selection activeCell="B17" sqref="B17:N22"/>
    </sheetView>
  </sheetViews>
  <sheetFormatPr baseColWidth="10" defaultColWidth="10.5" defaultRowHeight="15" x14ac:dyDescent="0.2"/>
  <cols>
    <col min="1" max="1" width="5.6640625" style="501" customWidth="1"/>
    <col min="2" max="2" width="3" style="501" customWidth="1"/>
    <col min="3" max="16384" width="10.5" style="501"/>
  </cols>
  <sheetData>
    <row r="3" spans="2:14" ht="21" x14ac:dyDescent="0.25">
      <c r="B3" s="500" t="s">
        <v>0</v>
      </c>
    </row>
    <row r="5" spans="2:14" ht="83" customHeight="1" x14ac:dyDescent="0.25">
      <c r="B5" s="824" t="s">
        <v>1</v>
      </c>
      <c r="C5" s="824"/>
      <c r="D5" s="824"/>
      <c r="E5" s="824"/>
      <c r="F5" s="824"/>
      <c r="G5" s="824"/>
      <c r="H5" s="824"/>
      <c r="I5" s="824"/>
      <c r="J5" s="824"/>
      <c r="K5" s="824"/>
    </row>
    <row r="6" spans="2:14" ht="26" customHeight="1" x14ac:dyDescent="0.25">
      <c r="B6" s="502"/>
      <c r="C6" s="825" t="s">
        <v>2</v>
      </c>
      <c r="D6" s="826"/>
      <c r="E6" s="826"/>
      <c r="F6" s="502"/>
      <c r="G6" s="502"/>
      <c r="H6" s="502"/>
      <c r="I6" s="502"/>
      <c r="J6" s="502"/>
      <c r="K6" s="502"/>
    </row>
    <row r="7" spans="2:14" ht="21.75" customHeight="1" x14ac:dyDescent="0.25">
      <c r="B7" s="502"/>
      <c r="C7" s="503"/>
      <c r="D7" s="503"/>
      <c r="E7" s="503"/>
      <c r="F7" s="503"/>
      <c r="G7" s="503"/>
      <c r="H7" s="503"/>
      <c r="I7" s="503"/>
      <c r="J7" s="503"/>
      <c r="K7" s="503"/>
    </row>
    <row r="8" spans="2:14" ht="19" x14ac:dyDescent="0.25">
      <c r="B8" s="504" t="s">
        <v>3</v>
      </c>
    </row>
    <row r="10" spans="2:14" ht="19" x14ac:dyDescent="0.25">
      <c r="B10" s="827" t="s">
        <v>4</v>
      </c>
      <c r="C10" s="827"/>
      <c r="D10" s="827"/>
      <c r="E10" s="505" t="s">
        <v>5</v>
      </c>
    </row>
    <row r="11" spans="2:14" ht="19" x14ac:dyDescent="0.25">
      <c r="B11" s="506"/>
    </row>
    <row r="12" spans="2:14" ht="19" x14ac:dyDescent="0.25">
      <c r="B12" s="823" t="s">
        <v>6</v>
      </c>
    </row>
    <row r="13" spans="2:14" x14ac:dyDescent="0.2">
      <c r="B13" s="507"/>
    </row>
    <row r="14" spans="2:14" ht="19" x14ac:dyDescent="0.25">
      <c r="B14" s="508"/>
    </row>
    <row r="15" spans="2:14" x14ac:dyDescent="0.2">
      <c r="B15" s="824" t="s">
        <v>1622</v>
      </c>
      <c r="C15" s="824"/>
      <c r="D15" s="824"/>
      <c r="E15" s="824"/>
      <c r="F15" s="824"/>
      <c r="G15" s="824"/>
      <c r="H15" s="824"/>
      <c r="I15" s="824"/>
      <c r="J15" s="824"/>
      <c r="K15" s="824"/>
      <c r="L15" s="824"/>
      <c r="M15" s="824"/>
      <c r="N15" s="824"/>
    </row>
    <row r="16" spans="2:14" ht="44" customHeight="1" x14ac:dyDescent="0.2">
      <c r="B16" s="824"/>
      <c r="C16" s="824"/>
      <c r="D16" s="824"/>
      <c r="E16" s="824"/>
      <c r="F16" s="824"/>
      <c r="G16" s="824"/>
      <c r="H16" s="824"/>
      <c r="I16" s="824"/>
      <c r="J16" s="824"/>
      <c r="K16" s="824"/>
      <c r="L16" s="824"/>
      <c r="M16" s="824"/>
      <c r="N16" s="824"/>
    </row>
    <row r="17" spans="2:14" x14ac:dyDescent="0.2">
      <c r="B17" s="828"/>
      <c r="C17" s="828"/>
      <c r="D17" s="828"/>
      <c r="E17" s="828"/>
      <c r="F17" s="828"/>
      <c r="G17" s="828"/>
      <c r="H17" s="828"/>
      <c r="I17" s="828"/>
      <c r="J17" s="828"/>
      <c r="K17" s="828"/>
      <c r="L17" s="828"/>
      <c r="M17" s="828"/>
      <c r="N17" s="828"/>
    </row>
    <row r="18" spans="2:14" x14ac:dyDescent="0.2">
      <c r="B18" s="828"/>
      <c r="C18" s="828"/>
      <c r="D18" s="828"/>
      <c r="E18" s="828"/>
      <c r="F18" s="828"/>
      <c r="G18" s="828"/>
      <c r="H18" s="828"/>
      <c r="I18" s="828"/>
      <c r="J18" s="828"/>
      <c r="K18" s="828"/>
      <c r="L18" s="828"/>
      <c r="M18" s="828"/>
      <c r="N18" s="828"/>
    </row>
    <row r="19" spans="2:14" x14ac:dyDescent="0.2">
      <c r="B19" s="828"/>
      <c r="C19" s="828"/>
      <c r="D19" s="828"/>
      <c r="E19" s="828"/>
      <c r="F19" s="828"/>
      <c r="G19" s="828"/>
      <c r="H19" s="828"/>
      <c r="I19" s="828"/>
      <c r="J19" s="828"/>
      <c r="K19" s="828"/>
      <c r="L19" s="828"/>
      <c r="M19" s="828"/>
      <c r="N19" s="828"/>
    </row>
    <row r="20" spans="2:14" x14ac:dyDescent="0.2">
      <c r="B20" s="828"/>
      <c r="C20" s="828"/>
      <c r="D20" s="828"/>
      <c r="E20" s="828"/>
      <c r="F20" s="828"/>
      <c r="G20" s="828"/>
      <c r="H20" s="828"/>
      <c r="I20" s="828"/>
      <c r="J20" s="828"/>
      <c r="K20" s="828"/>
      <c r="L20" s="828"/>
      <c r="M20" s="828"/>
      <c r="N20" s="828"/>
    </row>
    <row r="21" spans="2:14" x14ac:dyDescent="0.2">
      <c r="B21" s="828"/>
      <c r="C21" s="828"/>
      <c r="D21" s="828"/>
      <c r="E21" s="828"/>
      <c r="F21" s="828"/>
      <c r="G21" s="828"/>
      <c r="H21" s="828"/>
      <c r="I21" s="828"/>
      <c r="J21" s="828"/>
      <c r="K21" s="828"/>
      <c r="L21" s="828"/>
      <c r="M21" s="828"/>
      <c r="N21" s="828"/>
    </row>
    <row r="22" spans="2:14" x14ac:dyDescent="0.2">
      <c r="B22" s="828"/>
      <c r="C22" s="828"/>
      <c r="D22" s="828"/>
      <c r="E22" s="828"/>
      <c r="F22" s="828"/>
      <c r="G22" s="828"/>
      <c r="H22" s="828"/>
      <c r="I22" s="828"/>
      <c r="J22" s="828"/>
      <c r="K22" s="828"/>
      <c r="L22" s="828"/>
      <c r="M22" s="828"/>
      <c r="N22" s="828"/>
    </row>
  </sheetData>
  <sheetProtection algorithmName="SHA-512" hashValue="W8LemzlkKYRhijIOiDnLZr8TqYrXnKkj6AbRus92XaymEVCd6BJUY+7MBM6X51llksN9AjXAAiYANhihmGOTjA==" saltValue="QgrB6o7wurmAB1bicNSkEw==" spinCount="100000" sheet="1" objects="1" scenarios="1"/>
  <mergeCells count="5">
    <mergeCell ref="B5:K5"/>
    <mergeCell ref="C6:E6"/>
    <mergeCell ref="B10:D10"/>
    <mergeCell ref="B15:N16"/>
    <mergeCell ref="B17:N22"/>
  </mergeCells>
  <hyperlinks>
    <hyperlink ref="E10" r:id="rId1" location="disclaimer" xr:uid="{342D26F1-072F-4A43-B5B1-25CAB1C3AFFA}"/>
    <hyperlink ref="C6" r:id="rId2" xr:uid="{04AA90F6-78CC-492E-B2E6-22E136445FBB}"/>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8" tint="-0.499984740745262"/>
  </sheetPr>
  <dimension ref="A1:AC174"/>
  <sheetViews>
    <sheetView zoomScaleNormal="100" workbookViewId="0">
      <pane ySplit="1" topLeftCell="A2" activePane="bottomLeft" state="frozen"/>
      <selection pane="bottomLeft" activeCell="A3" sqref="A3"/>
    </sheetView>
  </sheetViews>
  <sheetFormatPr baseColWidth="10" defaultColWidth="8.83203125" defaultRowHeight="16" x14ac:dyDescent="0.2"/>
  <cols>
    <col min="1" max="1" width="11.5" customWidth="1"/>
    <col min="2" max="2" width="20.6640625" style="26" customWidth="1"/>
    <col min="3" max="3" width="13.6640625" style="26" customWidth="1"/>
    <col min="4" max="4" width="62.6640625" customWidth="1"/>
    <col min="5" max="5" width="58" style="26" customWidth="1"/>
    <col min="6" max="6" width="10.6640625" hidden="1" customWidth="1"/>
    <col min="7" max="15" width="9.5" customWidth="1"/>
    <col min="16" max="16" width="16.6640625" customWidth="1"/>
    <col min="17" max="17" width="19.1640625" bestFit="1" customWidth="1"/>
  </cols>
  <sheetData>
    <row r="1" spans="1:29" s="6" customFormat="1" ht="21" x14ac:dyDescent="0.25">
      <c r="A1" s="4" t="s">
        <v>6</v>
      </c>
      <c r="B1" s="23"/>
      <c r="C1" s="23"/>
      <c r="E1" s="7"/>
      <c r="N1" s="9"/>
    </row>
    <row r="2" spans="1:29" s="6" customFormat="1" ht="28.5" customHeight="1" x14ac:dyDescent="0.2">
      <c r="A2" s="855" t="s">
        <v>649</v>
      </c>
      <c r="B2" s="855"/>
      <c r="C2" s="855"/>
      <c r="D2" s="855"/>
      <c r="E2" s="855"/>
      <c r="F2" s="855"/>
      <c r="G2" s="855"/>
      <c r="H2" s="855"/>
      <c r="I2" s="855"/>
      <c r="J2" s="855"/>
      <c r="K2" s="855"/>
      <c r="L2" s="855"/>
      <c r="M2" s="855"/>
      <c r="N2" s="855"/>
      <c r="O2" s="855"/>
      <c r="P2" s="527"/>
      <c r="Q2" s="528"/>
      <c r="R2" s="528"/>
      <c r="S2" s="528"/>
      <c r="T2" s="528"/>
      <c r="U2" s="528"/>
      <c r="V2" s="528"/>
      <c r="W2" s="528"/>
      <c r="X2" s="528"/>
      <c r="Y2" s="528"/>
      <c r="Z2" s="528"/>
      <c r="AA2" s="528"/>
      <c r="AB2" s="528"/>
      <c r="AC2" s="528"/>
    </row>
    <row r="3" spans="1:29" s="2" customFormat="1" x14ac:dyDescent="0.2">
      <c r="A3" s="19"/>
      <c r="B3" s="24"/>
      <c r="C3" s="24"/>
      <c r="E3" s="1"/>
      <c r="N3" s="12"/>
    </row>
    <row r="4" spans="1:29" s="2" customFormat="1" x14ac:dyDescent="0.2">
      <c r="A4" s="13"/>
      <c r="B4" s="24"/>
      <c r="C4" s="24"/>
      <c r="E4" s="1"/>
      <c r="N4" s="12"/>
    </row>
    <row r="5" spans="1:29" s="2" customFormat="1" ht="19" x14ac:dyDescent="0.25">
      <c r="A5" s="263" t="s">
        <v>1336</v>
      </c>
      <c r="B5" s="25"/>
      <c r="C5" s="25"/>
      <c r="E5" s="1"/>
      <c r="G5" s="949" t="s">
        <v>1337</v>
      </c>
      <c r="H5" s="949"/>
      <c r="I5" s="949"/>
      <c r="J5" s="949"/>
      <c r="K5" s="949"/>
      <c r="L5" s="949"/>
      <c r="M5" s="949"/>
      <c r="N5" s="949"/>
      <c r="O5" s="949"/>
      <c r="P5" s="381"/>
    </row>
    <row r="6" spans="1:29" s="70" customFormat="1" ht="60" x14ac:dyDescent="0.25">
      <c r="A6" s="91" t="s">
        <v>1338</v>
      </c>
      <c r="B6" s="91" t="s">
        <v>1339</v>
      </c>
      <c r="C6" s="91" t="s">
        <v>1340</v>
      </c>
      <c r="D6" s="92" t="s">
        <v>655</v>
      </c>
      <c r="E6" s="93" t="s">
        <v>1341</v>
      </c>
      <c r="F6" s="94" t="s">
        <v>1342</v>
      </c>
      <c r="G6" s="94" t="s">
        <v>1343</v>
      </c>
      <c r="H6" s="94" t="s">
        <v>1344</v>
      </c>
      <c r="I6" s="94" t="s">
        <v>1345</v>
      </c>
      <c r="J6" s="94" t="s">
        <v>1346</v>
      </c>
      <c r="K6" s="94" t="s">
        <v>1347</v>
      </c>
      <c r="L6" s="94" t="s">
        <v>1348</v>
      </c>
      <c r="M6" s="94" t="s">
        <v>1349</v>
      </c>
      <c r="N6" s="94" t="s">
        <v>1350</v>
      </c>
      <c r="O6" s="94" t="s">
        <v>1351</v>
      </c>
      <c r="P6" s="94" t="s">
        <v>1352</v>
      </c>
    </row>
    <row r="7" spans="1:29" ht="48" x14ac:dyDescent="0.2">
      <c r="A7" s="273">
        <v>1</v>
      </c>
      <c r="B7" s="33" t="s">
        <v>310</v>
      </c>
      <c r="C7" s="33" t="s">
        <v>1353</v>
      </c>
      <c r="D7" s="34" t="s">
        <v>1354</v>
      </c>
      <c r="E7" s="34"/>
      <c r="F7" s="53">
        <f t="shared" ref="F7:F42" si="0">A7</f>
        <v>1</v>
      </c>
      <c r="G7" s="95" t="str">
        <f>IF(((IFERROR(VLOOKUP($B7,'Main Table'!$I$10:$I$555,1,FALSE),"X"))="X"),"","X")</f>
        <v/>
      </c>
      <c r="H7" s="95" t="str">
        <f>IF(((IFERROR(VLOOKUP($B7,'Main Table'!$M$10:$M$555,1,FALSE),"X"))="X"),"","X")</f>
        <v>X</v>
      </c>
      <c r="I7" s="95" t="str">
        <f>IF(((IFERROR(VLOOKUP($B7,'Main Table'!$Q$10:$Q$555,1,FALSE),"X"))="X"),"","X")</f>
        <v>X</v>
      </c>
      <c r="J7" s="95" t="str">
        <f>IF(((IFERROR(VLOOKUP($B7,'Critical Micelle Conc. (CMC)'!$P$9:$P$533,1,FALSE),"X"))="X"),"","X")</f>
        <v/>
      </c>
      <c r="K7" s="95" t="str">
        <f>IF(((IFERROR(VLOOKUP($B7,pKa!$J$8:$J$579,1,FALSE),"X"))="X"),"","X")</f>
        <v/>
      </c>
      <c r="L7" s="95" t="str">
        <f>IF(((IFERROR(VLOOKUP($B7,'Vapor Pressure (VP)'!$N$9:$N$603,1,FALSE),"X"))="X"),"","X")</f>
        <v>X</v>
      </c>
      <c r="M7" s="95" t="str">
        <f>IF(((IFERROR(VLOOKUP($B7,'Solubility (S)'!$P$9:$P$598,1,FALSE),"X"))="X"),"","X")</f>
        <v/>
      </c>
      <c r="N7" s="95" t="str">
        <f>IF(((IFERROR(VLOOKUP($B7,'Henry''s Constant (KH)'!$O$9:$O$527,1,FALSE),"X"))="X"),"","X")</f>
        <v/>
      </c>
      <c r="O7" s="95" t="str">
        <f>IF(((IFERROR(VLOOKUP($B7,'Log Koc'!$H$8:$H$553,1,FALSE),"X"))="X"),"","X")</f>
        <v/>
      </c>
      <c r="P7" s="95" t="str">
        <f>IF(((IFERROR(VLOOKUP($B7,Biotransformation!$T$23:$T$396,1,FALSE),"X"))="X"),"","X")</f>
        <v/>
      </c>
    </row>
    <row r="8" spans="1:29" ht="32" x14ac:dyDescent="0.2">
      <c r="A8" s="274">
        <f t="shared" ref="A8:A74" si="1">A7+1</f>
        <v>2</v>
      </c>
      <c r="B8" s="575" t="s">
        <v>82</v>
      </c>
      <c r="C8" s="33" t="s">
        <v>1355</v>
      </c>
      <c r="D8" s="576" t="s">
        <v>1356</v>
      </c>
      <c r="E8" s="576"/>
      <c r="F8" s="53">
        <f t="shared" si="0"/>
        <v>2</v>
      </c>
      <c r="G8" s="95" t="str">
        <f>IF(((IFERROR(VLOOKUP($B8,'Main Table'!$I$10:$I$555,1,FALSE),"X"))="X"),"","X")</f>
        <v/>
      </c>
      <c r="H8" s="95" t="str">
        <f>IF(((IFERROR(VLOOKUP($B8,'Main Table'!$M$10:$M$555,1,FALSE),"X"))="X"),"","X")</f>
        <v>X</v>
      </c>
      <c r="I8" s="95" t="str">
        <f>IF(((IFERROR(VLOOKUP($B8,'Main Table'!$Q$10:$Q$555,1,FALSE),"X"))="X"),"","X")</f>
        <v>X</v>
      </c>
      <c r="J8" s="95" t="str">
        <f>IF(((IFERROR(VLOOKUP($B8,'Critical Micelle Conc. (CMC)'!$P$9:$P$533,1,FALSE),"X"))="X"),"","X")</f>
        <v/>
      </c>
      <c r="K8" s="95" t="str">
        <f>IF(((IFERROR(VLOOKUP($B8,pKa!$J$8:$J$579,1,FALSE),"X"))="X"),"","X")</f>
        <v>X</v>
      </c>
      <c r="L8" s="95" t="str">
        <f>IF(((IFERROR(VLOOKUP($B8,'Vapor Pressure (VP)'!$N$9:$N$603,1,FALSE),"X"))="X"),"","X")</f>
        <v>X</v>
      </c>
      <c r="M8" s="95" t="str">
        <f>IF(((IFERROR(VLOOKUP($B8,'Solubility (S)'!$P$9:$P$598,1,FALSE),"X"))="X"),"","X")</f>
        <v>X</v>
      </c>
      <c r="N8" s="95" t="str">
        <f>IF(((IFERROR(VLOOKUP($B8,'Henry''s Constant (KH)'!$O$9:$O$527,1,FALSE),"X"))="X"),"","X")</f>
        <v/>
      </c>
      <c r="O8" s="95" t="str">
        <f>IF(((IFERROR(VLOOKUP($B8,'Log Koc'!$H$8:$H$553,1,FALSE),"X"))="X"),"","X")</f>
        <v/>
      </c>
      <c r="P8" s="95" t="str">
        <f>IF(((IFERROR(VLOOKUP($B8,Biotransformation!$T$23:$T$396,1,FALSE),"X"))="X"),"","X")</f>
        <v/>
      </c>
    </row>
    <row r="9" spans="1:29" ht="80" x14ac:dyDescent="0.2">
      <c r="A9" s="274">
        <f t="shared" si="1"/>
        <v>3</v>
      </c>
      <c r="B9" s="575" t="s">
        <v>47</v>
      </c>
      <c r="C9" s="33" t="s">
        <v>1353</v>
      </c>
      <c r="D9" s="576" t="s">
        <v>1357</v>
      </c>
      <c r="E9" s="576"/>
      <c r="F9" s="53">
        <f t="shared" si="0"/>
        <v>3</v>
      </c>
      <c r="G9" s="95" t="str">
        <f>IF(((IFERROR(VLOOKUP($B9,'Main Table'!$I$10:$I$555,1,FALSE),"X"))="X"),"","X")</f>
        <v>X</v>
      </c>
      <c r="H9" s="95" t="str">
        <f>IF(((IFERROR(VLOOKUP($B9,'Main Table'!$M$10:$M$555,1,FALSE),"X"))="X"),"","X")</f>
        <v>X</v>
      </c>
      <c r="I9" s="95" t="str">
        <f>IF(((IFERROR(VLOOKUP($B9,'Main Table'!$Q$10:$Q$555,1,FALSE),"X"))="X"),"","X")</f>
        <v>X</v>
      </c>
      <c r="J9" s="95" t="str">
        <f>IF(((IFERROR(VLOOKUP($B9,'Critical Micelle Conc. (CMC)'!$P$9:$P$533,1,FALSE),"X"))="X"),"","X")</f>
        <v/>
      </c>
      <c r="K9" s="95" t="str">
        <f>IF(((IFERROR(VLOOKUP($B9,pKa!$J$8:$J$579,1,FALSE),"X"))="X"),"","X")</f>
        <v>X</v>
      </c>
      <c r="L9" s="95" t="str">
        <f>IF(((IFERROR(VLOOKUP($B9,'Vapor Pressure (VP)'!$N$9:$N$603,1,FALSE),"X"))="X"),"","X")</f>
        <v>X</v>
      </c>
      <c r="M9" s="95" t="str">
        <f>IF(((IFERROR(VLOOKUP($B9,'Solubility (S)'!$P$9:$P$598,1,FALSE),"X"))="X"),"","X")</f>
        <v>X</v>
      </c>
      <c r="N9" s="95" t="str">
        <f>IF(((IFERROR(VLOOKUP($B9,'Henry''s Constant (KH)'!$O$9:$O$527,1,FALSE),"X"))="X"),"","X")</f>
        <v>X</v>
      </c>
      <c r="O9" s="95" t="str">
        <f>IF(((IFERROR(VLOOKUP($B9,'Log Koc'!$H$8:$H$553,1,FALSE),"X"))="X"),"","X")</f>
        <v>X</v>
      </c>
      <c r="P9" s="95" t="str">
        <f>IF(((IFERROR(VLOOKUP($B9,Biotransformation!$T$23:$T$396,1,FALSE),"X"))="X"),"","X")</f>
        <v/>
      </c>
    </row>
    <row r="10" spans="1:29" ht="64" x14ac:dyDescent="0.2">
      <c r="A10" s="274">
        <f t="shared" si="1"/>
        <v>4</v>
      </c>
      <c r="B10" s="575" t="s">
        <v>609</v>
      </c>
      <c r="C10" s="33" t="s">
        <v>1353</v>
      </c>
      <c r="D10" s="576" t="s">
        <v>1358</v>
      </c>
      <c r="E10" s="576" t="s">
        <v>1359</v>
      </c>
      <c r="F10" s="53">
        <f t="shared" si="0"/>
        <v>4</v>
      </c>
      <c r="G10" s="95" t="str">
        <f>IF(((IFERROR(VLOOKUP($B10,'Main Table'!$I$10:$I$555,1,FALSE),"X"))="X"),"","X")</f>
        <v/>
      </c>
      <c r="H10" s="95" t="str">
        <f>IF(((IFERROR(VLOOKUP($B10,'Main Table'!$M$10:$M$555,1,FALSE),"X"))="X"),"","X")</f>
        <v/>
      </c>
      <c r="I10" s="95" t="str">
        <f>IF(((IFERROR(VLOOKUP($B10,'Main Table'!$Q$10:$Q$555,1,FALSE),"X"))="X"),"","X")</f>
        <v/>
      </c>
      <c r="J10" s="95" t="str">
        <f>IF(((IFERROR(VLOOKUP($B10,'Critical Micelle Conc. (CMC)'!$P$9:$P$533,1,FALSE),"X"))="X"),"","X")</f>
        <v/>
      </c>
      <c r="K10" s="95" t="str">
        <f>IF(((IFERROR(VLOOKUP($B10,pKa!$J$8:$J$579,1,FALSE),"X"))="X"),"","X")</f>
        <v/>
      </c>
      <c r="L10" s="95" t="str">
        <f>IF(((IFERROR(VLOOKUP($B10,'Vapor Pressure (VP)'!$N$9:$N$603,1,FALSE),"X"))="X"),"","X")</f>
        <v/>
      </c>
      <c r="M10" s="95" t="str">
        <f>IF(((IFERROR(VLOOKUP($B10,'Solubility (S)'!$P$9:$P$598,1,FALSE),"X"))="X"),"","X")</f>
        <v/>
      </c>
      <c r="N10" s="95" t="str">
        <f>IF(((IFERROR(VLOOKUP($B10,'Henry''s Constant (KH)'!$O$9:$O$527,1,FALSE),"X"))="X"),"","X")</f>
        <v>X</v>
      </c>
      <c r="O10" s="95" t="str">
        <f>IF(((IFERROR(VLOOKUP($B10,'Log Koc'!$H$8:$H$553,1,FALSE),"X"))="X"),"","X")</f>
        <v/>
      </c>
      <c r="P10" s="95" t="str">
        <f>IF(((IFERROR(VLOOKUP($B10,Biotransformation!$T$23:$T$396,1,FALSE),"X"))="X"),"","X")</f>
        <v/>
      </c>
    </row>
    <row r="11" spans="1:29" ht="80" x14ac:dyDescent="0.2">
      <c r="A11" s="274">
        <f t="shared" si="1"/>
        <v>5</v>
      </c>
      <c r="B11" s="31" t="s">
        <v>712</v>
      </c>
      <c r="C11" s="33" t="s">
        <v>1353</v>
      </c>
      <c r="D11" s="35" t="s">
        <v>1360</v>
      </c>
      <c r="E11" s="34" t="s">
        <v>1361</v>
      </c>
      <c r="F11" s="53">
        <f t="shared" si="0"/>
        <v>5</v>
      </c>
      <c r="G11" s="95" t="str">
        <f>IF(((IFERROR(VLOOKUP($B11,'Main Table'!$I$10:$I$555,1,FALSE),"X"))="X"),"","X")</f>
        <v/>
      </c>
      <c r="H11" s="95" t="str">
        <f>IF(((IFERROR(VLOOKUP($B11,'Main Table'!$M$10:$M$555,1,FALSE),"X"))="X"),"","X")</f>
        <v/>
      </c>
      <c r="I11" s="95" t="str">
        <f>IF(((IFERROR(VLOOKUP($B11,'Main Table'!$Q$10:$Q$555,1,FALSE),"X"))="X"),"","X")</f>
        <v/>
      </c>
      <c r="J11" s="95" t="str">
        <f>IF(((IFERROR(VLOOKUP($B11,'Critical Micelle Conc. (CMC)'!$P$9:$P$533,1,FALSE),"X"))="X"),"","X")</f>
        <v/>
      </c>
      <c r="K11" s="95" t="str">
        <f>IF(((IFERROR(VLOOKUP($B11,pKa!$J$8:$J$579,1,FALSE),"X"))="X"),"","X")</f>
        <v/>
      </c>
      <c r="L11" s="95" t="str">
        <f>IF(((IFERROR(VLOOKUP($B11,'Vapor Pressure (VP)'!$N$9:$N$603,1,FALSE),"X"))="X"),"","X")</f>
        <v/>
      </c>
      <c r="M11" s="95" t="str">
        <f>IF(((IFERROR(VLOOKUP($B11,'Solubility (S)'!$P$9:$P$598,1,FALSE),"X"))="X"),"","X")</f>
        <v/>
      </c>
      <c r="N11" s="95" t="str">
        <f>IF(((IFERROR(VLOOKUP($B11,'Henry''s Constant (KH)'!$O$9:$O$527,1,FALSE),"X"))="X"),"","X")</f>
        <v/>
      </c>
      <c r="O11" s="95" t="str">
        <f>IF(((IFERROR(VLOOKUP($B11,'Log Koc'!$H$8:$H$553,1,FALSE),"X"))="X"),"","X")</f>
        <v>X</v>
      </c>
      <c r="P11" s="95" t="str">
        <f>IF(((IFERROR(VLOOKUP($B11,Biotransformation!$T$23:$T$396,1,FALSE),"X"))="X"),"","X")</f>
        <v/>
      </c>
    </row>
    <row r="12" spans="1:29" ht="80" x14ac:dyDescent="0.2">
      <c r="A12" s="274">
        <f t="shared" si="1"/>
        <v>6</v>
      </c>
      <c r="B12" s="32" t="s">
        <v>735</v>
      </c>
      <c r="C12" s="33" t="s">
        <v>1353</v>
      </c>
      <c r="D12" s="35" t="s">
        <v>1362</v>
      </c>
      <c r="E12" s="34" t="s">
        <v>1363</v>
      </c>
      <c r="F12" s="53">
        <f t="shared" si="0"/>
        <v>6</v>
      </c>
      <c r="G12" s="95" t="str">
        <f>IF(((IFERROR(VLOOKUP($B12,'Main Table'!$I$10:$I$555,1,FALSE),"X"))="X"),"","X")</f>
        <v/>
      </c>
      <c r="H12" s="95" t="str">
        <f>IF(((IFERROR(VLOOKUP($B12,'Main Table'!$M$10:$M$555,1,FALSE),"X"))="X"),"","X")</f>
        <v/>
      </c>
      <c r="I12" s="95" t="str">
        <f>IF(((IFERROR(VLOOKUP($B12,'Main Table'!$Q$10:$Q$555,1,FALSE),"X"))="X"),"","X")</f>
        <v/>
      </c>
      <c r="J12" s="95" t="str">
        <f>IF(((IFERROR(VLOOKUP($B12,'Critical Micelle Conc. (CMC)'!$P$9:$P$533,1,FALSE),"X"))="X"),"","X")</f>
        <v/>
      </c>
      <c r="K12" s="95" t="str">
        <f>IF(((IFERROR(VLOOKUP($B12,pKa!$J$8:$J$579,1,FALSE),"X"))="X"),"","X")</f>
        <v/>
      </c>
      <c r="L12" s="95" t="str">
        <f>IF(((IFERROR(VLOOKUP($B12,'Vapor Pressure (VP)'!$N$9:$N$603,1,FALSE),"X"))="X"),"","X")</f>
        <v/>
      </c>
      <c r="M12" s="95" t="str">
        <f>IF(((IFERROR(VLOOKUP($B12,'Solubility (S)'!$P$9:$P$598,1,FALSE),"X"))="X"),"","X")</f>
        <v/>
      </c>
      <c r="N12" s="95" t="str">
        <f>IF(((IFERROR(VLOOKUP($B12,'Henry''s Constant (KH)'!$O$9:$O$527,1,FALSE),"X"))="X"),"","X")</f>
        <v/>
      </c>
      <c r="O12" s="95" t="str">
        <f>IF(((IFERROR(VLOOKUP($B12,'Log Koc'!$H$8:$H$553,1,FALSE),"X"))="X"),"","X")</f>
        <v>X</v>
      </c>
      <c r="P12" s="95" t="str">
        <f>IF(((IFERROR(VLOOKUP($B12,Biotransformation!$T$23:$T$396,1,FALSE),"X"))="X"),"","X")</f>
        <v/>
      </c>
    </row>
    <row r="13" spans="1:29" ht="80" x14ac:dyDescent="0.2">
      <c r="A13" s="274">
        <f t="shared" si="1"/>
        <v>7</v>
      </c>
      <c r="B13" s="32" t="s">
        <v>678</v>
      </c>
      <c r="C13" s="33" t="s">
        <v>1353</v>
      </c>
      <c r="D13" s="35" t="s">
        <v>1364</v>
      </c>
      <c r="E13" s="34" t="s">
        <v>1365</v>
      </c>
      <c r="F13" s="53">
        <f t="shared" si="0"/>
        <v>7</v>
      </c>
      <c r="G13" s="95" t="str">
        <f>IF(((IFERROR(VLOOKUP($B13,'Main Table'!$I$10:$I$555,1,FALSE),"X"))="X"),"","X")</f>
        <v/>
      </c>
      <c r="H13" s="95" t="str">
        <f>IF(((IFERROR(VLOOKUP($B13,'Main Table'!$M$10:$M$555,1,FALSE),"X"))="X"),"","X")</f>
        <v/>
      </c>
      <c r="I13" s="95" t="str">
        <f>IF(((IFERROR(VLOOKUP($B13,'Main Table'!$Q$10:$Q$555,1,FALSE),"X"))="X"),"","X")</f>
        <v/>
      </c>
      <c r="J13" s="95" t="str">
        <f>IF(((IFERROR(VLOOKUP($B13,'Critical Micelle Conc. (CMC)'!$P$9:$P$533,1,FALSE),"X"))="X"),"","X")</f>
        <v/>
      </c>
      <c r="K13" s="95" t="str">
        <f>IF(((IFERROR(VLOOKUP($B13,pKa!$J$8:$J$579,1,FALSE),"X"))="X"),"","X")</f>
        <v/>
      </c>
      <c r="L13" s="95" t="str">
        <f>IF(((IFERROR(VLOOKUP($B13,'Vapor Pressure (VP)'!$N$9:$N$603,1,FALSE),"X"))="X"),"","X")</f>
        <v/>
      </c>
      <c r="M13" s="95" t="str">
        <f>IF(((IFERROR(VLOOKUP($B13,'Solubility (S)'!$P$9:$P$598,1,FALSE),"X"))="X"),"","X")</f>
        <v/>
      </c>
      <c r="N13" s="95" t="str">
        <f>IF(((IFERROR(VLOOKUP($B13,'Henry''s Constant (KH)'!$O$9:$O$527,1,FALSE),"X"))="X"),"","X")</f>
        <v/>
      </c>
      <c r="O13" s="95" t="str">
        <f>IF(((IFERROR(VLOOKUP($B13,'Log Koc'!$H$8:$H$553,1,FALSE),"X"))="X"),"","X")</f>
        <v>X</v>
      </c>
      <c r="P13" s="95" t="str">
        <f>IF(((IFERROR(VLOOKUP($B13,Biotransformation!$T$23:$T$396,1,FALSE),"X"))="X"),"","X")</f>
        <v/>
      </c>
    </row>
    <row r="14" spans="1:29" ht="32" x14ac:dyDescent="0.2">
      <c r="A14" s="274">
        <f t="shared" si="1"/>
        <v>8</v>
      </c>
      <c r="B14" s="33" t="s">
        <v>228</v>
      </c>
      <c r="C14" s="33" t="s">
        <v>1355</v>
      </c>
      <c r="D14" s="34" t="s">
        <v>1366</v>
      </c>
      <c r="E14" s="34"/>
      <c r="F14" s="53">
        <f t="shared" si="0"/>
        <v>8</v>
      </c>
      <c r="G14" s="95" t="str">
        <f>IF(((IFERROR(VLOOKUP($B14,'Main Table'!$I$10:$I$555,1,FALSE),"X"))="X"),"","X")</f>
        <v/>
      </c>
      <c r="H14" s="95" t="str">
        <f>IF(((IFERROR(VLOOKUP($B14,'Main Table'!$M$10:$M$555,1,FALSE),"X"))="X"),"","X")</f>
        <v>X</v>
      </c>
      <c r="I14" s="95" t="str">
        <f>IF(((IFERROR(VLOOKUP($B14,'Main Table'!$Q$10:$Q$555,1,FALSE),"X"))="X"),"","X")</f>
        <v>X</v>
      </c>
      <c r="J14" s="95" t="str">
        <f>IF(((IFERROR(VLOOKUP($B14,'Critical Micelle Conc. (CMC)'!$P$9:$P$533,1,FALSE),"X"))="X"),"","X")</f>
        <v/>
      </c>
      <c r="K14" s="95" t="str">
        <f>IF(((IFERROR(VLOOKUP($B14,pKa!$J$8:$J$579,1,FALSE),"X"))="X"),"","X")</f>
        <v/>
      </c>
      <c r="L14" s="95" t="str">
        <f>IF(((IFERROR(VLOOKUP($B14,'Vapor Pressure (VP)'!$N$9:$N$603,1,FALSE),"X"))="X"),"","X")</f>
        <v/>
      </c>
      <c r="M14" s="95" t="str">
        <f>IF(((IFERROR(VLOOKUP($B14,'Solubility (S)'!$P$9:$P$598,1,FALSE),"X"))="X"),"","X")</f>
        <v/>
      </c>
      <c r="N14" s="95" t="str">
        <f>IF(((IFERROR(VLOOKUP($B14,'Henry''s Constant (KH)'!$O$9:$O$527,1,FALSE),"X"))="X"),"","X")</f>
        <v/>
      </c>
      <c r="O14" s="95" t="str">
        <f>IF(((IFERROR(VLOOKUP($B14,'Log Koc'!$H$8:$H$553,1,FALSE),"X"))="X"),"","X")</f>
        <v/>
      </c>
      <c r="P14" s="95" t="str">
        <f>IF(((IFERROR(VLOOKUP($B14,Biotransformation!$T$23:$T$396,1,FALSE),"X"))="X"),"","X")</f>
        <v/>
      </c>
    </row>
    <row r="15" spans="1:29" ht="64" x14ac:dyDescent="0.2">
      <c r="A15" s="274">
        <f t="shared" si="1"/>
        <v>9</v>
      </c>
      <c r="B15" s="32" t="s">
        <v>570</v>
      </c>
      <c r="C15" s="33" t="s">
        <v>1355</v>
      </c>
      <c r="D15" s="35" t="s">
        <v>1367</v>
      </c>
      <c r="E15" s="34" t="s">
        <v>1368</v>
      </c>
      <c r="F15" s="53">
        <f t="shared" si="0"/>
        <v>9</v>
      </c>
      <c r="G15" s="95" t="str">
        <f>IF(((IFERROR(VLOOKUP($B15,'Main Table'!$I$10:$I$555,1,FALSE),"X"))="X"),"","X")</f>
        <v/>
      </c>
      <c r="H15" s="95" t="str">
        <f>IF(((IFERROR(VLOOKUP($B15,'Main Table'!$M$10:$M$555,1,FALSE),"X"))="X"),"","X")</f>
        <v/>
      </c>
      <c r="I15" s="95" t="str">
        <f>IF(((IFERROR(VLOOKUP($B15,'Main Table'!$Q$10:$Q$555,1,FALSE),"X"))="X"),"","X")</f>
        <v/>
      </c>
      <c r="J15" s="95" t="str">
        <f>IF(((IFERROR(VLOOKUP($B15,'Critical Micelle Conc. (CMC)'!$P$9:$P$533,1,FALSE),"X"))="X"),"","X")</f>
        <v/>
      </c>
      <c r="K15" s="95" t="str">
        <f>IF(((IFERROR(VLOOKUP($B15,pKa!$J$8:$J$579,1,FALSE),"X"))="X"),"","X")</f>
        <v/>
      </c>
      <c r="L15" s="95" t="str">
        <f>IF(((IFERROR(VLOOKUP($B15,'Vapor Pressure (VP)'!$N$9:$N$603,1,FALSE),"X"))="X"),"","X")</f>
        <v>X</v>
      </c>
      <c r="M15" s="95" t="str">
        <f>IF(((IFERROR(VLOOKUP($B15,'Solubility (S)'!$P$9:$P$598,1,FALSE),"X"))="X"),"","X")</f>
        <v/>
      </c>
      <c r="N15" s="95" t="str">
        <f>IF(((IFERROR(VLOOKUP($B15,'Henry''s Constant (KH)'!$O$9:$O$527,1,FALSE),"X"))="X"),"","X")</f>
        <v>X</v>
      </c>
      <c r="O15" s="95" t="str">
        <f>IF(((IFERROR(VLOOKUP($B15,'Log Koc'!$H$8:$H$553,1,FALSE),"X"))="X"),"","X")</f>
        <v/>
      </c>
      <c r="P15" s="95" t="str">
        <f>IF(((IFERROR(VLOOKUP($B15,Biotransformation!$T$23:$T$396,1,FALSE),"X"))="X"),"","X")</f>
        <v/>
      </c>
    </row>
    <row r="16" spans="1:29" ht="32" x14ac:dyDescent="0.2">
      <c r="A16" s="274">
        <f t="shared" si="1"/>
        <v>10</v>
      </c>
      <c r="B16" s="33" t="s">
        <v>45</v>
      </c>
      <c r="C16" s="33" t="s">
        <v>1355</v>
      </c>
      <c r="D16" s="34" t="s">
        <v>1369</v>
      </c>
      <c r="E16" s="34"/>
      <c r="F16" s="53">
        <f t="shared" si="0"/>
        <v>10</v>
      </c>
      <c r="G16" s="95" t="str">
        <f>IF(((IFERROR(VLOOKUP($B16,'Main Table'!$I$10:$I$555,1,FALSE),"X"))="X"),"","X")</f>
        <v>X</v>
      </c>
      <c r="H16" s="95" t="str">
        <f>IF(((IFERROR(VLOOKUP($B16,'Main Table'!$M$10:$M$555,1,FALSE),"X"))="X"),"","X")</f>
        <v>X</v>
      </c>
      <c r="I16" s="95" t="str">
        <f>IF(((IFERROR(VLOOKUP($B16,'Main Table'!$Q$10:$Q$555,1,FALSE),"X"))="X"),"","X")</f>
        <v>X</v>
      </c>
      <c r="J16" s="95" t="str">
        <f>IF(((IFERROR(VLOOKUP($B16,'Critical Micelle Conc. (CMC)'!$P$9:$P$533,1,FALSE),"X"))="X"),"","X")</f>
        <v/>
      </c>
      <c r="K16" s="95" t="str">
        <f>IF(((IFERROR(VLOOKUP($B16,pKa!$J$8:$J$579,1,FALSE),"X"))="X"),"","X")</f>
        <v>X</v>
      </c>
      <c r="L16" s="95" t="str">
        <f>IF(((IFERROR(VLOOKUP($B16,'Vapor Pressure (VP)'!$N$9:$N$603,1,FALSE),"X"))="X"),"","X")</f>
        <v/>
      </c>
      <c r="M16" s="95" t="str">
        <f>IF(((IFERROR(VLOOKUP($B16,'Solubility (S)'!$P$9:$P$598,1,FALSE),"X"))="X"),"","X")</f>
        <v/>
      </c>
      <c r="N16" s="95" t="str">
        <f>IF(((IFERROR(VLOOKUP($B16,'Henry''s Constant (KH)'!$O$9:$O$527,1,FALSE),"X"))="X"),"","X")</f>
        <v/>
      </c>
      <c r="O16" s="95" t="str">
        <f>IF(((IFERROR(VLOOKUP($B16,'Log Koc'!$H$8:$H$553,1,FALSE),"X"))="X"),"","X")</f>
        <v/>
      </c>
      <c r="P16" s="95" t="str">
        <f>IF(((IFERROR(VLOOKUP($B16,Biotransformation!$T$23:$T$396,1,FALSE),"X"))="X"),"","X")</f>
        <v/>
      </c>
    </row>
    <row r="17" spans="1:16" ht="80" x14ac:dyDescent="0.2">
      <c r="A17" s="274">
        <f t="shared" si="1"/>
        <v>11</v>
      </c>
      <c r="B17" s="33" t="s">
        <v>961</v>
      </c>
      <c r="C17" s="33" t="s">
        <v>1353</v>
      </c>
      <c r="D17" s="34" t="s">
        <v>1370</v>
      </c>
      <c r="E17" s="34"/>
      <c r="F17" s="53">
        <f t="shared" si="0"/>
        <v>11</v>
      </c>
      <c r="G17" s="95" t="str">
        <f>IF(((IFERROR(VLOOKUP($B17,'Main Table'!$I$10:$I$555,1,FALSE),"X"))="X"),"","X")</f>
        <v/>
      </c>
      <c r="H17" s="95" t="str">
        <f>IF(((IFERROR(VLOOKUP($B17,'Main Table'!$M$10:$M$555,1,FALSE),"X"))="X"),"","X")</f>
        <v/>
      </c>
      <c r="I17" s="95" t="str">
        <f>IF(((IFERROR(VLOOKUP($B17,'Main Table'!$Q$10:$Q$555,1,FALSE),"X"))="X"),"","X")</f>
        <v/>
      </c>
      <c r="J17" s="95" t="str">
        <f>IF(((IFERROR(VLOOKUP($B17,'Critical Micelle Conc. (CMC)'!$P$9:$P$533,1,FALSE),"X"))="X"),"","X")</f>
        <v/>
      </c>
      <c r="K17" s="95" t="str">
        <f>IF(((IFERROR(VLOOKUP($B17,pKa!$J$8:$J$579,1,FALSE),"X"))="X"),"","X")</f>
        <v>X</v>
      </c>
      <c r="L17" s="95" t="str">
        <f>IF(((IFERROR(VLOOKUP($B17,'Vapor Pressure (VP)'!$N$9:$N$603,1,FALSE),"X"))="X"),"","X")</f>
        <v/>
      </c>
      <c r="M17" s="95" t="str">
        <f>IF(((IFERROR(VLOOKUP($B17,'Solubility (S)'!$P$9:$P$598,1,FALSE),"X"))="X"),"","X")</f>
        <v/>
      </c>
      <c r="N17" s="95" t="str">
        <f>IF(((IFERROR(VLOOKUP($B17,'Henry''s Constant (KH)'!$O$9:$O$527,1,FALSE),"X"))="X"),"","X")</f>
        <v/>
      </c>
      <c r="O17" s="95" t="str">
        <f>IF(((IFERROR(VLOOKUP($B17,'Log Koc'!$H$8:$H$553,1,FALSE),"X"))="X"),"","X")</f>
        <v/>
      </c>
      <c r="P17" s="95" t="str">
        <f>IF(((IFERROR(VLOOKUP($B17,Biotransformation!$T$23:$T$396,1,FALSE),"X"))="X"),"","X")</f>
        <v/>
      </c>
    </row>
    <row r="18" spans="1:16" ht="48" x14ac:dyDescent="0.2">
      <c r="A18" s="274">
        <f t="shared" si="1"/>
        <v>12</v>
      </c>
      <c r="B18" s="575" t="s">
        <v>574</v>
      </c>
      <c r="C18" s="33" t="s">
        <v>1353</v>
      </c>
      <c r="D18" s="576" t="s">
        <v>1371</v>
      </c>
      <c r="E18" s="577" t="s">
        <v>1372</v>
      </c>
      <c r="F18" s="53">
        <f t="shared" si="0"/>
        <v>12</v>
      </c>
      <c r="G18" s="95" t="str">
        <f>IF(((IFERROR(VLOOKUP($B18,'Main Table'!$I$10:$I$555,1,FALSE),"X"))="X"),"","X")</f>
        <v/>
      </c>
      <c r="H18" s="95" t="str">
        <f>IF(((IFERROR(VLOOKUP($B18,'Main Table'!$M$10:$M$555,1,FALSE),"X"))="X"),"","X")</f>
        <v/>
      </c>
      <c r="I18" s="95" t="str">
        <f>IF(((IFERROR(VLOOKUP($B18,'Main Table'!$Q$10:$Q$555,1,FALSE),"X"))="X"),"","X")</f>
        <v/>
      </c>
      <c r="J18" s="95" t="str">
        <f>IF(((IFERROR(VLOOKUP($B18,'Critical Micelle Conc. (CMC)'!$P$9:$P$533,1,FALSE),"X"))="X"),"","X")</f>
        <v/>
      </c>
      <c r="K18" s="95" t="str">
        <f>IF(((IFERROR(VLOOKUP($B18,pKa!$J$8:$J$579,1,FALSE),"X"))="X"),"","X")</f>
        <v/>
      </c>
      <c r="L18" s="95" t="str">
        <f>IF(((IFERROR(VLOOKUP($B18,'Vapor Pressure (VP)'!$N$9:$N$603,1,FALSE),"X"))="X"),"","X")</f>
        <v>X</v>
      </c>
      <c r="M18" s="95" t="str">
        <f>IF(((IFERROR(VLOOKUP($B18,'Solubility (S)'!$P$9:$P$598,1,FALSE),"X"))="X"),"","X")</f>
        <v/>
      </c>
      <c r="N18" s="95" t="str">
        <f>IF(((IFERROR(VLOOKUP($B18,'Henry''s Constant (KH)'!$O$9:$O$527,1,FALSE),"X"))="X"),"","X")</f>
        <v/>
      </c>
      <c r="O18" s="95" t="str">
        <f>IF(((IFERROR(VLOOKUP($B18,'Log Koc'!$H$8:$H$553,1,FALSE),"X"))="X"),"","X")</f>
        <v/>
      </c>
      <c r="P18" s="95" t="str">
        <f>IF(((IFERROR(VLOOKUP($B18,Biotransformation!$T$23:$T$396,1,FALSE),"X"))="X"),"","X")</f>
        <v/>
      </c>
    </row>
    <row r="19" spans="1:16" ht="80" x14ac:dyDescent="0.2">
      <c r="A19" s="274">
        <f t="shared" si="1"/>
        <v>13</v>
      </c>
      <c r="B19" s="386" t="s">
        <v>1076</v>
      </c>
      <c r="C19" s="33" t="s">
        <v>1353</v>
      </c>
      <c r="D19" s="380" t="s">
        <v>1373</v>
      </c>
      <c r="E19" s="382"/>
      <c r="F19" s="53">
        <f t="shared" si="0"/>
        <v>13</v>
      </c>
      <c r="G19" s="95" t="str">
        <f>IF(((IFERROR(VLOOKUP($B19,'Main Table'!$I$10:$I$555,1,FALSE),"X"))="X"),"","X")</f>
        <v/>
      </c>
      <c r="H19" s="95" t="str">
        <f>IF(((IFERROR(VLOOKUP($B19,'Main Table'!$M$10:$M$555,1,FALSE),"X"))="X"),"","X")</f>
        <v/>
      </c>
      <c r="I19" s="95" t="str">
        <f>IF(((IFERROR(VLOOKUP($B19,'Main Table'!$Q$10:$Q$555,1,FALSE),"X"))="X"),"","X")</f>
        <v/>
      </c>
      <c r="J19" s="95" t="str">
        <f>IF(((IFERROR(VLOOKUP($B19,'Critical Micelle Conc. (CMC)'!$P$9:$P$533,1,FALSE),"X"))="X"),"","X")</f>
        <v/>
      </c>
      <c r="K19" s="95" t="str">
        <f>IF(((IFERROR(VLOOKUP($B19,pKa!$J$8:$J$579,1,FALSE),"X"))="X"),"","X")</f>
        <v/>
      </c>
      <c r="L19" s="95" t="str">
        <f>IF(((IFERROR(VLOOKUP($B19,'Vapor Pressure (VP)'!$N$9:$N$603,1,FALSE),"X"))="X"),"","X")</f>
        <v/>
      </c>
      <c r="M19" s="95" t="str">
        <f>IF(((IFERROR(VLOOKUP($B19,'Solubility (S)'!$P$9:$P$598,1,FALSE),"X"))="X"),"","X")</f>
        <v/>
      </c>
      <c r="N19" s="95" t="str">
        <f>IF(((IFERROR(VLOOKUP($B19,'Henry''s Constant (KH)'!$O$9:$O$527,1,FALSE),"X"))="X"),"","X")</f>
        <v/>
      </c>
      <c r="O19" s="95" t="str">
        <f>IF(((IFERROR(VLOOKUP($B19,'Log Koc'!$H$8:$H$553,1,FALSE),"X"))="X"),"","X")</f>
        <v/>
      </c>
      <c r="P19" s="95" t="str">
        <f>IF(((IFERROR(VLOOKUP($B19,Biotransformation!$T$23:$T$396,1,FALSE),"X"))="X"),"","X")</f>
        <v>X</v>
      </c>
    </row>
    <row r="20" spans="1:16" ht="64" x14ac:dyDescent="0.2">
      <c r="A20" s="274">
        <f t="shared" si="1"/>
        <v>14</v>
      </c>
      <c r="B20" s="33" t="s">
        <v>520</v>
      </c>
      <c r="C20" s="33" t="s">
        <v>1355</v>
      </c>
      <c r="D20" s="34" t="s">
        <v>1374</v>
      </c>
      <c r="E20" s="34" t="s">
        <v>1375</v>
      </c>
      <c r="F20" s="53">
        <f t="shared" si="0"/>
        <v>14</v>
      </c>
      <c r="G20" s="95" t="str">
        <f>IF(((IFERROR(VLOOKUP($B20,'Main Table'!$I$10:$I$555,1,FALSE),"X"))="X"),"","X")</f>
        <v/>
      </c>
      <c r="H20" s="95" t="str">
        <f>IF(((IFERROR(VLOOKUP($B20,'Main Table'!$M$10:$M$555,1,FALSE),"X"))="X"),"","X")</f>
        <v/>
      </c>
      <c r="I20" s="95" t="str">
        <f>IF(((IFERROR(VLOOKUP($B20,'Main Table'!$Q$10:$Q$555,1,FALSE),"X"))="X"),"","X")</f>
        <v/>
      </c>
      <c r="J20" s="95" t="str">
        <f>IF(((IFERROR(VLOOKUP($B20,'Critical Micelle Conc. (CMC)'!$P$9:$P$533,1,FALSE),"X"))="X"),"","X")</f>
        <v>X</v>
      </c>
      <c r="K20" s="95" t="str">
        <f>IF(((IFERROR(VLOOKUP($B20,pKa!$J$8:$J$579,1,FALSE),"X"))="X"),"","X")</f>
        <v/>
      </c>
      <c r="L20" s="95" t="str">
        <f>IF(((IFERROR(VLOOKUP($B20,'Vapor Pressure (VP)'!$N$9:$N$603,1,FALSE),"X"))="X"),"","X")</f>
        <v>X</v>
      </c>
      <c r="M20" s="95" t="str">
        <f>IF(((IFERROR(VLOOKUP($B20,'Solubility (S)'!$P$9:$P$598,1,FALSE),"X"))="X"),"","X")</f>
        <v>X</v>
      </c>
      <c r="N20" s="95" t="str">
        <f>IF(((IFERROR(VLOOKUP($B20,'Henry''s Constant (KH)'!$O$9:$O$527,1,FALSE),"X"))="X"),"","X")</f>
        <v/>
      </c>
      <c r="O20" s="95" t="str">
        <f>IF(((IFERROR(VLOOKUP($B20,'Log Koc'!$H$8:$H$553,1,FALSE),"X"))="X"),"","X")</f>
        <v/>
      </c>
      <c r="P20" s="95" t="str">
        <f>IF(((IFERROR(VLOOKUP($B20,Biotransformation!$T$23:$T$396,1,FALSE),"X"))="X"),"","X")</f>
        <v/>
      </c>
    </row>
    <row r="21" spans="1:16" ht="48" x14ac:dyDescent="0.2">
      <c r="A21" s="274">
        <f t="shared" si="1"/>
        <v>15</v>
      </c>
      <c r="B21" s="33" t="s">
        <v>124</v>
      </c>
      <c r="C21" s="33" t="s">
        <v>1353</v>
      </c>
      <c r="D21" s="34" t="s">
        <v>1376</v>
      </c>
      <c r="E21" s="34"/>
      <c r="F21" s="53">
        <f t="shared" si="0"/>
        <v>15</v>
      </c>
      <c r="G21" s="95" t="str">
        <f>IF(((IFERROR(VLOOKUP($B21,'Main Table'!$I$10:$I$555,1,FALSE),"X"))="X"),"","X")</f>
        <v/>
      </c>
      <c r="H21" s="95" t="str">
        <f>IF(((IFERROR(VLOOKUP($B21,'Main Table'!$M$10:$M$555,1,FALSE),"X"))="X"),"","X")</f>
        <v/>
      </c>
      <c r="I21" s="95" t="str">
        <f>IF(((IFERROR(VLOOKUP($B21,'Main Table'!$Q$10:$Q$555,1,FALSE),"X"))="X"),"","X")</f>
        <v/>
      </c>
      <c r="J21" s="95" t="str">
        <f>IF(((IFERROR(VLOOKUP($B21,'Critical Micelle Conc. (CMC)'!$P$9:$P$533,1,FALSE),"X"))="X"),"","X")</f>
        <v/>
      </c>
      <c r="K21" s="95" t="str">
        <f>IF(((IFERROR(VLOOKUP($B21,pKa!$J$8:$J$579,1,FALSE),"X"))="X"),"","X")</f>
        <v>X</v>
      </c>
      <c r="L21" s="95" t="str">
        <f>IF(((IFERROR(VLOOKUP($B21,'Vapor Pressure (VP)'!$N$9:$N$603,1,FALSE),"X"))="X"),"","X")</f>
        <v/>
      </c>
      <c r="M21" s="95" t="str">
        <f>IF(((IFERROR(VLOOKUP($B21,'Solubility (S)'!$P$9:$P$598,1,FALSE),"X"))="X"),"","X")</f>
        <v/>
      </c>
      <c r="N21" s="95" t="str">
        <f>IF(((IFERROR(VLOOKUP($B21,'Henry''s Constant (KH)'!$O$9:$O$527,1,FALSE),"X"))="X"),"","X")</f>
        <v/>
      </c>
      <c r="O21" s="95" t="str">
        <f>IF(((IFERROR(VLOOKUP($B21,'Log Koc'!$H$8:$H$553,1,FALSE),"X"))="X"),"","X")</f>
        <v/>
      </c>
      <c r="P21" s="95" t="str">
        <f>IF(((IFERROR(VLOOKUP($B21,Biotransformation!$T$23:$T$396,1,FALSE),"X"))="X"),"","X")</f>
        <v/>
      </c>
    </row>
    <row r="22" spans="1:16" ht="96" x14ac:dyDescent="0.2">
      <c r="A22" s="274">
        <f t="shared" si="1"/>
        <v>16</v>
      </c>
      <c r="B22" s="33" t="s">
        <v>427</v>
      </c>
      <c r="C22" s="33" t="s">
        <v>1353</v>
      </c>
      <c r="D22" s="34" t="s">
        <v>1377</v>
      </c>
      <c r="E22" s="34"/>
      <c r="F22" s="53">
        <f t="shared" si="0"/>
        <v>16</v>
      </c>
      <c r="G22" s="95" t="str">
        <f>IF(((IFERROR(VLOOKUP($B22,'Main Table'!$I$10:$I$555,1,FALSE),"X"))="X"),"","X")</f>
        <v>X</v>
      </c>
      <c r="H22" s="95" t="str">
        <f>IF(((IFERROR(VLOOKUP($B22,'Main Table'!$M$10:$M$555,1,FALSE),"X"))="X"),"","X")</f>
        <v/>
      </c>
      <c r="I22" s="95" t="str">
        <f>IF(((IFERROR(VLOOKUP($B22,'Main Table'!$Q$10:$Q$555,1,FALSE),"X"))="X"),"","X")</f>
        <v/>
      </c>
      <c r="J22" s="95" t="str">
        <f>IF(((IFERROR(VLOOKUP($B22,'Critical Micelle Conc. (CMC)'!$P$9:$P$533,1,FALSE),"X"))="X"),"","X")</f>
        <v/>
      </c>
      <c r="K22" s="95" t="str">
        <f>IF(((IFERROR(VLOOKUP($B22,pKa!$J$8:$J$579,1,FALSE),"X"))="X"),"","X")</f>
        <v>X</v>
      </c>
      <c r="L22" s="95" t="str">
        <f>IF(((IFERROR(VLOOKUP($B22,'Vapor Pressure (VP)'!$N$9:$N$603,1,FALSE),"X"))="X"),"","X")</f>
        <v/>
      </c>
      <c r="M22" s="95" t="str">
        <f>IF(((IFERROR(VLOOKUP($B22,'Solubility (S)'!$P$9:$P$598,1,FALSE),"X"))="X"),"","X")</f>
        <v/>
      </c>
      <c r="N22" s="95" t="str">
        <f>IF(((IFERROR(VLOOKUP($B22,'Henry''s Constant (KH)'!$O$9:$O$527,1,FALSE),"X"))="X"),"","X")</f>
        <v/>
      </c>
      <c r="O22" s="95" t="str">
        <f>IF(((IFERROR(VLOOKUP($B22,'Log Koc'!$H$8:$H$553,1,FALSE),"X"))="X"),"","X")</f>
        <v/>
      </c>
      <c r="P22" s="95" t="str">
        <f>IF(((IFERROR(VLOOKUP($B22,Biotransformation!$T$23:$T$396,1,FALSE),"X"))="X"),"","X")</f>
        <v/>
      </c>
    </row>
    <row r="23" spans="1:16" ht="64" x14ac:dyDescent="0.2">
      <c r="A23" s="274">
        <f t="shared" si="1"/>
        <v>17</v>
      </c>
      <c r="B23" s="33" t="s">
        <v>953</v>
      </c>
      <c r="C23" s="33" t="s">
        <v>1353</v>
      </c>
      <c r="D23" s="34" t="s">
        <v>1378</v>
      </c>
      <c r="E23" s="34"/>
      <c r="F23" s="53">
        <f t="shared" si="0"/>
        <v>17</v>
      </c>
      <c r="G23" s="95" t="str">
        <f>IF(((IFERROR(VLOOKUP($B23,'Main Table'!$I$10:$I$555,1,FALSE),"X"))="X"),"","X")</f>
        <v/>
      </c>
      <c r="H23" s="95" t="str">
        <f>IF(((IFERROR(VLOOKUP($B23,'Main Table'!$M$10:$M$555,1,FALSE),"X"))="X"),"","X")</f>
        <v/>
      </c>
      <c r="I23" s="95" t="str">
        <f>IF(((IFERROR(VLOOKUP($B23,'Main Table'!$Q$10:$Q$555,1,FALSE),"X"))="X"),"","X")</f>
        <v/>
      </c>
      <c r="J23" s="95" t="str">
        <f>IF(((IFERROR(VLOOKUP($B23,'Critical Micelle Conc. (CMC)'!$P$9:$P$533,1,FALSE),"X"))="X"),"","X")</f>
        <v/>
      </c>
      <c r="K23" s="95" t="str">
        <f>IF(((IFERROR(VLOOKUP($B23,pKa!$J$8:$J$579,1,FALSE),"X"))="X"),"","X")</f>
        <v>X</v>
      </c>
      <c r="L23" s="95" t="str">
        <f>IF(((IFERROR(VLOOKUP($B23,'Vapor Pressure (VP)'!$N$9:$N$603,1,FALSE),"X"))="X"),"","X")</f>
        <v/>
      </c>
      <c r="M23" s="95" t="str">
        <f>IF(((IFERROR(VLOOKUP($B23,'Solubility (S)'!$P$9:$P$598,1,FALSE),"X"))="X"),"","X")</f>
        <v/>
      </c>
      <c r="N23" s="95" t="str">
        <f>IF(((IFERROR(VLOOKUP($B23,'Henry''s Constant (KH)'!$O$9:$O$527,1,FALSE),"X"))="X"),"","X")</f>
        <v/>
      </c>
      <c r="O23" s="95" t="str">
        <f>IF(((IFERROR(VLOOKUP($B23,'Log Koc'!$H$8:$H$553,1,FALSE),"X"))="X"),"","X")</f>
        <v/>
      </c>
      <c r="P23" s="95" t="str">
        <f>IF(((IFERROR(VLOOKUP($B23,Biotransformation!$T$23:$T$396,1,FALSE),"X"))="X"),"","X")</f>
        <v/>
      </c>
    </row>
    <row r="24" spans="1:16" ht="80" x14ac:dyDescent="0.2">
      <c r="A24" s="274">
        <f t="shared" si="1"/>
        <v>18</v>
      </c>
      <c r="B24" s="33" t="s">
        <v>993</v>
      </c>
      <c r="C24" s="33" t="s">
        <v>1353</v>
      </c>
      <c r="D24" s="34" t="s">
        <v>1379</v>
      </c>
      <c r="E24" s="34"/>
      <c r="F24" s="53">
        <f t="shared" ref="F24" si="2">A24</f>
        <v>18</v>
      </c>
      <c r="G24" s="95" t="str">
        <f>IF(((IFERROR(VLOOKUP($B24,'Main Table'!$I$10:$I$555,1,FALSE),"X"))="X"),"","X")</f>
        <v/>
      </c>
      <c r="H24" s="95" t="str">
        <f>IF(((IFERROR(VLOOKUP($B24,'Main Table'!$M$10:$M$555,1,FALSE),"X"))="X"),"","X")</f>
        <v/>
      </c>
      <c r="I24" s="95" t="str">
        <f>IF(((IFERROR(VLOOKUP($B24,'Main Table'!$Q$10:$Q$555,1,FALSE),"X"))="X"),"","X")</f>
        <v/>
      </c>
      <c r="J24" s="95" t="str">
        <f>IF(((IFERROR(VLOOKUP($B24,'Critical Micelle Conc. (CMC)'!$P$9:$P$533,1,FALSE),"X"))="X"),"","X")</f>
        <v/>
      </c>
      <c r="K24" s="95" t="str">
        <f>IF(((IFERROR(VLOOKUP($B24,pKa!$J$8:$J$579,1,FALSE),"X"))="X"),"","X")</f>
        <v/>
      </c>
      <c r="L24" s="95" t="str">
        <f>IF(((IFERROR(VLOOKUP($B24,'Vapor Pressure (VP)'!$N$9:$N$603,1,FALSE),"X"))="X"),"","X")</f>
        <v/>
      </c>
      <c r="M24" s="95" t="str">
        <f>IF(((IFERROR(VLOOKUP($B24,'Solubility (S)'!$P$9:$P$598,1,FALSE),"X"))="X"),"","X")</f>
        <v/>
      </c>
      <c r="N24" s="95" t="str">
        <f>IF(((IFERROR(VLOOKUP($B24,'Henry''s Constant (KH)'!$O$9:$O$527,1,FALSE),"X"))="X"),"","X")</f>
        <v/>
      </c>
      <c r="O24" s="95" t="str">
        <f>IF(((IFERROR(VLOOKUP($B24,'Log Koc'!$H$8:$H$553,1,FALSE),"X"))="X"),"","X")</f>
        <v/>
      </c>
      <c r="P24" s="95" t="str">
        <f>IF(((IFERROR(VLOOKUP($B24,Biotransformation!$T$23:$T$396,1,FALSE),"X"))="X"),"","X")</f>
        <v/>
      </c>
    </row>
    <row r="25" spans="1:16" ht="80" x14ac:dyDescent="0.2">
      <c r="A25" s="274">
        <f t="shared" si="1"/>
        <v>19</v>
      </c>
      <c r="B25" s="32" t="s">
        <v>862</v>
      </c>
      <c r="C25" s="33" t="s">
        <v>1353</v>
      </c>
      <c r="D25" s="35" t="s">
        <v>1380</v>
      </c>
      <c r="E25" s="34" t="s">
        <v>1381</v>
      </c>
      <c r="F25" s="53">
        <f t="shared" si="0"/>
        <v>19</v>
      </c>
      <c r="G25" s="95" t="str">
        <f>IF(((IFERROR(VLOOKUP($B25,'Main Table'!$I$10:$I$555,1,FALSE),"X"))="X"),"","X")</f>
        <v/>
      </c>
      <c r="H25" s="95" t="str">
        <f>IF(((IFERROR(VLOOKUP($B25,'Main Table'!$M$10:$M$555,1,FALSE),"X"))="X"),"","X")</f>
        <v/>
      </c>
      <c r="I25" s="95" t="str">
        <f>IF(((IFERROR(VLOOKUP($B25,'Main Table'!$Q$10:$Q$555,1,FALSE),"X"))="X"),"","X")</f>
        <v/>
      </c>
      <c r="J25" s="95" t="str">
        <f>IF(((IFERROR(VLOOKUP($B25,'Critical Micelle Conc. (CMC)'!$P$9:$P$533,1,FALSE),"X"))="X"),"","X")</f>
        <v/>
      </c>
      <c r="K25" s="95" t="str">
        <f>IF(((IFERROR(VLOOKUP($B25,pKa!$J$8:$J$579,1,FALSE),"X"))="X"),"","X")</f>
        <v/>
      </c>
      <c r="L25" s="95" t="str">
        <f>IF(((IFERROR(VLOOKUP($B25,'Vapor Pressure (VP)'!$N$9:$N$603,1,FALSE),"X"))="X"),"","X")</f>
        <v/>
      </c>
      <c r="M25" s="95" t="str">
        <f>IF(((IFERROR(VLOOKUP($B25,'Solubility (S)'!$P$9:$P$598,1,FALSE),"X"))="X"),"","X")</f>
        <v/>
      </c>
      <c r="N25" s="95" t="str">
        <f>IF(((IFERROR(VLOOKUP($B25,'Henry''s Constant (KH)'!$O$9:$O$527,1,FALSE),"X"))="X"),"","X")</f>
        <v/>
      </c>
      <c r="O25" s="95" t="str">
        <f>IF(((IFERROR(VLOOKUP($B25,'Log Koc'!$H$8:$H$553,1,FALSE),"X"))="X"),"","X")</f>
        <v>X</v>
      </c>
      <c r="P25" s="95" t="str">
        <f>IF(((IFERROR(VLOOKUP($B25,Biotransformation!$T$23:$T$396,1,FALSE),"X"))="X"),"","X")</f>
        <v/>
      </c>
    </row>
    <row r="26" spans="1:16" ht="64" x14ac:dyDescent="0.2">
      <c r="A26" s="274">
        <f t="shared" si="1"/>
        <v>20</v>
      </c>
      <c r="B26" s="32" t="s">
        <v>741</v>
      </c>
      <c r="C26" s="33" t="s">
        <v>1353</v>
      </c>
      <c r="D26" s="35" t="s">
        <v>1382</v>
      </c>
      <c r="E26" s="34" t="s">
        <v>1383</v>
      </c>
      <c r="F26" s="53">
        <f t="shared" si="0"/>
        <v>20</v>
      </c>
      <c r="G26" s="95" t="str">
        <f>IF(((IFERROR(VLOOKUP($B26,'Main Table'!$I$10:$I$555,1,FALSE),"X"))="X"),"","X")</f>
        <v/>
      </c>
      <c r="H26" s="95" t="str">
        <f>IF(((IFERROR(VLOOKUP($B26,'Main Table'!$M$10:$M$555,1,FALSE),"X"))="X"),"","X")</f>
        <v/>
      </c>
      <c r="I26" s="95" t="str">
        <f>IF(((IFERROR(VLOOKUP($B26,'Main Table'!$Q$10:$Q$555,1,FALSE),"X"))="X"),"","X")</f>
        <v/>
      </c>
      <c r="J26" s="95" t="str">
        <f>IF(((IFERROR(VLOOKUP($B26,'Critical Micelle Conc. (CMC)'!$P$9:$P$533,1,FALSE),"X"))="X"),"","X")</f>
        <v/>
      </c>
      <c r="K26" s="95" t="str">
        <f>IF(((IFERROR(VLOOKUP($B26,pKa!$J$8:$J$579,1,FALSE),"X"))="X"),"","X")</f>
        <v/>
      </c>
      <c r="L26" s="95" t="str">
        <f>IF(((IFERROR(VLOOKUP($B26,'Vapor Pressure (VP)'!$N$9:$N$603,1,FALSE),"X"))="X"),"","X")</f>
        <v/>
      </c>
      <c r="M26" s="95" t="str">
        <f>IF(((IFERROR(VLOOKUP($B26,'Solubility (S)'!$P$9:$P$598,1,FALSE),"X"))="X"),"","X")</f>
        <v/>
      </c>
      <c r="N26" s="95" t="str">
        <f>IF(((IFERROR(VLOOKUP($B26,'Henry''s Constant (KH)'!$O$9:$O$527,1,FALSE),"X"))="X"),"","X")</f>
        <v/>
      </c>
      <c r="O26" s="95" t="str">
        <f>IF(((IFERROR(VLOOKUP($B26,'Log Koc'!$H$8:$H$553,1,FALSE),"X"))="X"),"","X")</f>
        <v>X</v>
      </c>
      <c r="P26" s="95" t="str">
        <f>IF(((IFERROR(VLOOKUP($B26,Biotransformation!$T$23:$T$396,1,FALSE),"X"))="X"),"","X")</f>
        <v/>
      </c>
    </row>
    <row r="27" spans="1:16" ht="80" x14ac:dyDescent="0.2">
      <c r="A27" s="274">
        <f t="shared" si="1"/>
        <v>21</v>
      </c>
      <c r="B27" s="31" t="s">
        <v>697</v>
      </c>
      <c r="C27" s="33" t="s">
        <v>1353</v>
      </c>
      <c r="D27" s="35" t="s">
        <v>1384</v>
      </c>
      <c r="E27" s="34" t="s">
        <v>1385</v>
      </c>
      <c r="F27" s="53">
        <f t="shared" si="0"/>
        <v>21</v>
      </c>
      <c r="G27" s="95" t="str">
        <f>IF(((IFERROR(VLOOKUP($B27,'Main Table'!$I$10:$I$555,1,FALSE),"X"))="X"),"","X")</f>
        <v/>
      </c>
      <c r="H27" s="95" t="str">
        <f>IF(((IFERROR(VLOOKUP($B27,'Main Table'!$M$10:$M$555,1,FALSE),"X"))="X"),"","X")</f>
        <v/>
      </c>
      <c r="I27" s="95" t="str">
        <f>IF(((IFERROR(VLOOKUP($B27,'Main Table'!$Q$10:$Q$555,1,FALSE),"X"))="X"),"","X")</f>
        <v/>
      </c>
      <c r="J27" s="95" t="str">
        <f>IF(((IFERROR(VLOOKUP($B27,'Critical Micelle Conc. (CMC)'!$P$9:$P$533,1,FALSE),"X"))="X"),"","X")</f>
        <v/>
      </c>
      <c r="K27" s="95" t="str">
        <f>IF(((IFERROR(VLOOKUP($B27,pKa!$J$8:$J$579,1,FALSE),"X"))="X"),"","X")</f>
        <v/>
      </c>
      <c r="L27" s="95" t="str">
        <f>IF(((IFERROR(VLOOKUP($B27,'Vapor Pressure (VP)'!$N$9:$N$603,1,FALSE),"X"))="X"),"","X")</f>
        <v/>
      </c>
      <c r="M27" s="95" t="str">
        <f>IF(((IFERROR(VLOOKUP($B27,'Solubility (S)'!$P$9:$P$598,1,FALSE),"X"))="X"),"","X")</f>
        <v/>
      </c>
      <c r="N27" s="95" t="str">
        <f>IF(((IFERROR(VLOOKUP($B27,'Henry''s Constant (KH)'!$O$9:$O$527,1,FALSE),"X"))="X"),"","X")</f>
        <v/>
      </c>
      <c r="O27" s="95" t="str">
        <f>IF(((IFERROR(VLOOKUP($B27,'Log Koc'!$H$8:$H$553,1,FALSE),"X"))="X"),"","X")</f>
        <v>X</v>
      </c>
      <c r="P27" s="95" t="str">
        <f>IF(((IFERROR(VLOOKUP($B27,Biotransformation!$T$23:$T$396,1,FALSE),"X"))="X"),"","X")</f>
        <v/>
      </c>
    </row>
    <row r="28" spans="1:16" ht="64" x14ac:dyDescent="0.2">
      <c r="A28" s="274">
        <f t="shared" si="1"/>
        <v>22</v>
      </c>
      <c r="B28" s="31" t="s">
        <v>1192</v>
      </c>
      <c r="C28" s="33" t="s">
        <v>1353</v>
      </c>
      <c r="D28" s="519" t="s">
        <v>1386</v>
      </c>
      <c r="E28" s="34"/>
      <c r="F28" s="53">
        <f t="shared" si="0"/>
        <v>22</v>
      </c>
      <c r="G28" s="95" t="str">
        <f>IF(((IFERROR(VLOOKUP($B28,'Main Table'!$I$10:$I$555,1,FALSE),"X"))="X"),"","X")</f>
        <v/>
      </c>
      <c r="H28" s="95" t="str">
        <f>IF(((IFERROR(VLOOKUP($B28,'Main Table'!$M$10:$M$555,1,FALSE),"X"))="X"),"","X")</f>
        <v/>
      </c>
      <c r="I28" s="95" t="str">
        <f>IF(((IFERROR(VLOOKUP($B28,'Main Table'!$Q$10:$Q$555,1,FALSE),"X"))="X"),"","X")</f>
        <v/>
      </c>
      <c r="J28" s="95" t="str">
        <f>IF(((IFERROR(VLOOKUP($B28,'Critical Micelle Conc. (CMC)'!$P$9:$P$533,1,FALSE),"X"))="X"),"","X")</f>
        <v/>
      </c>
      <c r="K28" s="95" t="str">
        <f>IF(((IFERROR(VLOOKUP($B28,pKa!$J$8:$J$579,1,FALSE),"X"))="X"),"","X")</f>
        <v/>
      </c>
      <c r="L28" s="95" t="str">
        <f>IF(((IFERROR(VLOOKUP($B28,'Vapor Pressure (VP)'!$N$9:$N$603,1,FALSE),"X"))="X"),"","X")</f>
        <v/>
      </c>
      <c r="M28" s="95" t="str">
        <f>IF(((IFERROR(VLOOKUP($B28,'Solubility (S)'!$P$9:$P$598,1,FALSE),"X"))="X"),"","X")</f>
        <v/>
      </c>
      <c r="N28" s="95" t="str">
        <f>IF(((IFERROR(VLOOKUP($B28,'Henry''s Constant (KH)'!$O$9:$O$527,1,FALSE),"X"))="X"),"","X")</f>
        <v/>
      </c>
      <c r="O28" s="95" t="str">
        <f>IF(((IFERROR(VLOOKUP($B28,'Log Koc'!$H$8:$H$553,1,FALSE),"X"))="X"),"","X")</f>
        <v/>
      </c>
      <c r="P28" s="95" t="str">
        <f>IF(((IFERROR(VLOOKUP($B28,Biotransformation!$T$23:$T$396,1,FALSE),"X"))="X"),"","X")</f>
        <v>X</v>
      </c>
    </row>
    <row r="29" spans="1:16" ht="64" x14ac:dyDescent="0.2">
      <c r="A29" s="274">
        <f t="shared" si="1"/>
        <v>23</v>
      </c>
      <c r="B29" s="395" t="s">
        <v>957</v>
      </c>
      <c r="C29" s="33" t="s">
        <v>1353</v>
      </c>
      <c r="D29" s="34" t="s">
        <v>1387</v>
      </c>
      <c r="E29" s="34"/>
      <c r="F29" s="53">
        <f t="shared" si="0"/>
        <v>23</v>
      </c>
      <c r="G29" s="95" t="str">
        <f>IF(((IFERROR(VLOOKUP($B29,'Main Table'!$I$10:$I$555,1,FALSE),"X"))="X"),"","X")</f>
        <v/>
      </c>
      <c r="H29" s="95" t="str">
        <f>IF(((IFERROR(VLOOKUP($B29,'Main Table'!$M$10:$M$555,1,FALSE),"X"))="X"),"","X")</f>
        <v/>
      </c>
      <c r="I29" s="95" t="str">
        <f>IF(((IFERROR(VLOOKUP($B29,'Main Table'!$Q$10:$Q$555,1,FALSE),"X"))="X"),"","X")</f>
        <v/>
      </c>
      <c r="J29" s="95" t="str">
        <f>IF(((IFERROR(VLOOKUP($B29,'Critical Micelle Conc. (CMC)'!$P$9:$P$533,1,FALSE),"X"))="X"),"","X")</f>
        <v/>
      </c>
      <c r="K29" s="95" t="str">
        <f>IF(((IFERROR(VLOOKUP($B29,pKa!$J$8:$J$579,1,FALSE),"X"))="X"),"","X")</f>
        <v>X</v>
      </c>
      <c r="L29" s="95" t="str">
        <f>IF(((IFERROR(VLOOKUP($B29,'Vapor Pressure (VP)'!$N$9:$N$603,1,FALSE),"X"))="X"),"","X")</f>
        <v/>
      </c>
      <c r="M29" s="95" t="str">
        <f>IF(((IFERROR(VLOOKUP($B29,'Solubility (S)'!$P$9:$P$598,1,FALSE),"X"))="X"),"","X")</f>
        <v/>
      </c>
      <c r="N29" s="95" t="str">
        <f>IF(((IFERROR(VLOOKUP($B29,'Henry''s Constant (KH)'!$O$9:$O$527,1,FALSE),"X"))="X"),"","X")</f>
        <v/>
      </c>
      <c r="O29" s="95" t="str">
        <f>IF(((IFERROR(VLOOKUP($B29,'Log Koc'!$H$8:$H$553,1,FALSE),"X"))="X"),"","X")</f>
        <v/>
      </c>
      <c r="P29" s="95" t="str">
        <f>IF(((IFERROR(VLOOKUP($B29,Biotransformation!$T$23:$T$396,1,FALSE),"X"))="X"),"","X")</f>
        <v/>
      </c>
    </row>
    <row r="30" spans="1:16" ht="80" x14ac:dyDescent="0.2">
      <c r="A30" s="274">
        <f t="shared" si="1"/>
        <v>24</v>
      </c>
      <c r="B30" s="410" t="s">
        <v>579</v>
      </c>
      <c r="C30" s="33" t="s">
        <v>1353</v>
      </c>
      <c r="D30" s="34" t="s">
        <v>1388</v>
      </c>
      <c r="E30" s="34"/>
      <c r="F30" s="53">
        <f t="shared" si="0"/>
        <v>24</v>
      </c>
      <c r="G30" s="95" t="str">
        <f>IF(((IFERROR(VLOOKUP($B30,'Main Table'!$I$10:$I$555,1,FALSE),"X"))="X"),"","X")</f>
        <v/>
      </c>
      <c r="H30" s="95" t="str">
        <f>IF(((IFERROR(VLOOKUP($B30,'Main Table'!$M$10:$M$555,1,FALSE),"X"))="X"),"","X")</f>
        <v/>
      </c>
      <c r="I30" s="95" t="str">
        <f>IF(((IFERROR(VLOOKUP($B30,'Main Table'!$Q$10:$Q$555,1,FALSE),"X"))="X"),"","X")</f>
        <v/>
      </c>
      <c r="J30" s="95" t="str">
        <f>IF(((IFERROR(VLOOKUP($B30,'Critical Micelle Conc. (CMC)'!$P$9:$P$533,1,FALSE),"X"))="X"),"","X")</f>
        <v/>
      </c>
      <c r="K30" s="95" t="str">
        <f>IF(((IFERROR(VLOOKUP($B30,pKa!$J$8:$J$579,1,FALSE),"X"))="X"),"","X")</f>
        <v/>
      </c>
      <c r="L30" s="95" t="str">
        <f>IF(((IFERROR(VLOOKUP($B30,'Vapor Pressure (VP)'!$N$9:$N$603,1,FALSE),"X"))="X"),"","X")</f>
        <v>X</v>
      </c>
      <c r="M30" s="95" t="str">
        <f>IF(((IFERROR(VLOOKUP($B30,'Solubility (S)'!$P$9:$P$598,1,FALSE),"X"))="X"),"","X")</f>
        <v/>
      </c>
      <c r="N30" s="95" t="str">
        <f>IF(((IFERROR(VLOOKUP($B30,'Henry''s Constant (KH)'!$O$9:$O$527,1,FALSE),"X"))="X"),"","X")</f>
        <v/>
      </c>
      <c r="O30" s="95" t="str">
        <f>IF(((IFERROR(VLOOKUP($B30,'Log Koc'!$H$8:$H$553,1,FALSE),"X"))="X"),"","X")</f>
        <v/>
      </c>
      <c r="P30" s="95" t="str">
        <f>IF(((IFERROR(VLOOKUP($B30,Biotransformation!$T$23:$T$396,1,FALSE),"X"))="X"),"","X")</f>
        <v/>
      </c>
    </row>
    <row r="31" spans="1:16" ht="48" x14ac:dyDescent="0.2">
      <c r="A31" s="274">
        <f t="shared" si="1"/>
        <v>25</v>
      </c>
      <c r="B31" s="410" t="s">
        <v>149</v>
      </c>
      <c r="C31" s="33" t="s">
        <v>1353</v>
      </c>
      <c r="D31" s="34" t="s">
        <v>1389</v>
      </c>
      <c r="E31" s="34"/>
      <c r="F31" s="53">
        <f t="shared" ref="F31" si="3">A31</f>
        <v>25</v>
      </c>
      <c r="G31" s="95" t="str">
        <f>IF(((IFERROR(VLOOKUP($B31,'Main Table'!$I$10:$I$555,1,FALSE),"X"))="X"),"","X")</f>
        <v>X</v>
      </c>
      <c r="H31" s="95" t="str">
        <f>IF(((IFERROR(VLOOKUP($B31,'Main Table'!$M$10:$M$555,1,FALSE),"X"))="X"),"","X")</f>
        <v>X</v>
      </c>
      <c r="I31" s="95" t="str">
        <f>IF(((IFERROR(VLOOKUP($B31,'Main Table'!$Q$10:$Q$555,1,FALSE),"X"))="X"),"","X")</f>
        <v/>
      </c>
      <c r="J31" s="95" t="str">
        <f>IF(((IFERROR(VLOOKUP($B31,'Critical Micelle Conc. (CMC)'!$P$9:$P$533,1,FALSE),"X"))="X"),"","X")</f>
        <v/>
      </c>
      <c r="K31" s="95" t="str">
        <f>IF(((IFERROR(VLOOKUP($B31,pKa!$J$8:$J$579,1,FALSE),"X"))="X"),"","X")</f>
        <v/>
      </c>
      <c r="L31" s="95" t="str">
        <f>IF(((IFERROR(VLOOKUP($B31,'Vapor Pressure (VP)'!$N$9:$N$603,1,FALSE),"X"))="X"),"","X")</f>
        <v/>
      </c>
      <c r="M31" s="95" t="str">
        <f>IF(((IFERROR(VLOOKUP($B31,'Solubility (S)'!$P$9:$P$598,1,FALSE),"X"))="X"),"","X")</f>
        <v/>
      </c>
      <c r="N31" s="95" t="str">
        <f>IF(((IFERROR(VLOOKUP($B31,'Henry''s Constant (KH)'!$O$9:$O$527,1,FALSE),"X"))="X"),"","X")</f>
        <v/>
      </c>
      <c r="O31" s="95" t="str">
        <f>IF(((IFERROR(VLOOKUP($B31,'Log Koc'!$H$8:$H$553,1,FALSE),"X"))="X"),"","X")</f>
        <v/>
      </c>
      <c r="P31" s="95" t="str">
        <f>IF(((IFERROR(VLOOKUP($B31,Biotransformation!$T$23:$T$396,1,FALSE),"X"))="X"),"","X")</f>
        <v/>
      </c>
    </row>
    <row r="32" spans="1:16" ht="64" x14ac:dyDescent="0.2">
      <c r="A32" s="274">
        <f t="shared" si="1"/>
        <v>26</v>
      </c>
      <c r="B32" s="575" t="s">
        <v>645</v>
      </c>
      <c r="C32" s="33" t="s">
        <v>1353</v>
      </c>
      <c r="D32" s="576" t="s">
        <v>1390</v>
      </c>
      <c r="E32" s="576"/>
      <c r="F32" s="53">
        <f t="shared" si="0"/>
        <v>26</v>
      </c>
      <c r="G32" s="95" t="str">
        <f>IF(((IFERROR(VLOOKUP($B32,'Main Table'!$I$10:$I$555,1,FALSE),"X"))="X"),"","X")</f>
        <v/>
      </c>
      <c r="H32" s="95" t="str">
        <f>IF(((IFERROR(VLOOKUP($B32,'Main Table'!$M$10:$M$555,1,FALSE),"X"))="X"),"","X")</f>
        <v/>
      </c>
      <c r="I32" s="95" t="str">
        <f>IF(((IFERROR(VLOOKUP($B32,'Main Table'!$Q$10:$Q$555,1,FALSE),"X"))="X"),"","X")</f>
        <v/>
      </c>
      <c r="J32" s="95" t="str">
        <f>IF(((IFERROR(VLOOKUP($B32,'Critical Micelle Conc. (CMC)'!$P$9:$P$533,1,FALSE),"X"))="X"),"","X")</f>
        <v>X</v>
      </c>
      <c r="K32" s="95" t="str">
        <f>IF(((IFERROR(VLOOKUP($B32,pKa!$J$8:$J$579,1,FALSE),"X"))="X"),"","X")</f>
        <v/>
      </c>
      <c r="L32" s="95" t="str">
        <f>IF(((IFERROR(VLOOKUP($B32,'Vapor Pressure (VP)'!$N$9:$N$603,1,FALSE),"X"))="X"),"","X")</f>
        <v/>
      </c>
      <c r="M32" s="95" t="str">
        <f>IF(((IFERROR(VLOOKUP($B32,'Solubility (S)'!$P$9:$P$598,1,FALSE),"X"))="X"),"","X")</f>
        <v/>
      </c>
      <c r="N32" s="95" t="str">
        <f>IF(((IFERROR(VLOOKUP($B32,'Henry''s Constant (KH)'!$O$9:$O$527,1,FALSE),"X"))="X"),"","X")</f>
        <v/>
      </c>
      <c r="O32" s="95" t="str">
        <f>IF(((IFERROR(VLOOKUP($B32,'Log Koc'!$H$8:$H$553,1,FALSE),"X"))="X"),"","X")</f>
        <v/>
      </c>
      <c r="P32" s="95" t="str">
        <f>IF(((IFERROR(VLOOKUP($B32,Biotransformation!$T$23:$T$396,1,FALSE),"X"))="X"),"","X")</f>
        <v/>
      </c>
    </row>
    <row r="33" spans="1:17" ht="80" x14ac:dyDescent="0.2">
      <c r="A33" s="274">
        <f t="shared" si="1"/>
        <v>27</v>
      </c>
      <c r="B33" s="32" t="s">
        <v>699</v>
      </c>
      <c r="C33" s="33" t="s">
        <v>1353</v>
      </c>
      <c r="D33" s="35" t="s">
        <v>1391</v>
      </c>
      <c r="E33" s="34" t="s">
        <v>1392</v>
      </c>
      <c r="F33" s="53">
        <f t="shared" si="0"/>
        <v>27</v>
      </c>
      <c r="G33" s="95" t="str">
        <f>IF(((IFERROR(VLOOKUP($B33,'Main Table'!$I$10:$I$555,1,FALSE),"X"))="X"),"","X")</f>
        <v/>
      </c>
      <c r="H33" s="95" t="str">
        <f>IF(((IFERROR(VLOOKUP($B33,'Main Table'!$M$10:$M$555,1,FALSE),"X"))="X"),"","X")</f>
        <v/>
      </c>
      <c r="I33" s="95" t="str">
        <f>IF(((IFERROR(VLOOKUP($B33,'Main Table'!$Q$10:$Q$555,1,FALSE),"X"))="X"),"","X")</f>
        <v/>
      </c>
      <c r="J33" s="95" t="str">
        <f>IF(((IFERROR(VLOOKUP($B33,'Critical Micelle Conc. (CMC)'!$P$9:$P$533,1,FALSE),"X"))="X"),"","X")</f>
        <v/>
      </c>
      <c r="K33" s="95" t="str">
        <f>IF(((IFERROR(VLOOKUP($B33,pKa!$J$8:$J$579,1,FALSE),"X"))="X"),"","X")</f>
        <v/>
      </c>
      <c r="L33" s="95" t="str">
        <f>IF(((IFERROR(VLOOKUP($B33,'Vapor Pressure (VP)'!$N$9:$N$603,1,FALSE),"X"))="X"),"","X")</f>
        <v/>
      </c>
      <c r="M33" s="95" t="str">
        <f>IF(((IFERROR(VLOOKUP($B33,'Solubility (S)'!$P$9:$P$598,1,FALSE),"X"))="X"),"","X")</f>
        <v/>
      </c>
      <c r="N33" s="95" t="str">
        <f>IF(((IFERROR(VLOOKUP($B33,'Henry''s Constant (KH)'!$O$9:$O$527,1,FALSE),"X"))="X"),"","X")</f>
        <v/>
      </c>
      <c r="O33" s="95" t="str">
        <f>IF(((IFERROR(VLOOKUP($B33,'Log Koc'!$H$8:$H$553,1,FALSE),"X"))="X"),"","X")</f>
        <v>X</v>
      </c>
      <c r="P33" s="95" t="str">
        <f>IF(((IFERROR(VLOOKUP($B33,Biotransformation!$T$23:$T$396,1,FALSE),"X"))="X"),"","X")</f>
        <v/>
      </c>
    </row>
    <row r="34" spans="1:17" ht="80" x14ac:dyDescent="0.2">
      <c r="A34" s="274">
        <f t="shared" si="1"/>
        <v>28</v>
      </c>
      <c r="B34" s="386" t="s">
        <v>1275</v>
      </c>
      <c r="C34" s="33" t="s">
        <v>1353</v>
      </c>
      <c r="D34" s="380" t="s">
        <v>1393</v>
      </c>
      <c r="E34" s="382" t="s">
        <v>1394</v>
      </c>
      <c r="F34" s="53">
        <f t="shared" si="0"/>
        <v>28</v>
      </c>
      <c r="G34" s="95" t="str">
        <f>IF(((IFERROR(VLOOKUP($B34,'Main Table'!$I$10:$I$555,1,FALSE),"X"))="X"),"","X")</f>
        <v/>
      </c>
      <c r="H34" s="95" t="str">
        <f>IF(((IFERROR(VLOOKUP($B34,'Main Table'!$M$10:$M$555,1,FALSE),"X"))="X"),"","X")</f>
        <v/>
      </c>
      <c r="I34" s="95" t="str">
        <f>IF(((IFERROR(VLOOKUP($B34,'Main Table'!$Q$10:$Q$555,1,FALSE),"X"))="X"),"","X")</f>
        <v/>
      </c>
      <c r="J34" s="95" t="str">
        <f>IF(((IFERROR(VLOOKUP($B34,'Critical Micelle Conc. (CMC)'!$P$9:$P$533,1,FALSE),"X"))="X"),"","X")</f>
        <v/>
      </c>
      <c r="K34" s="95" t="str">
        <f>IF(((IFERROR(VLOOKUP($B34,pKa!$J$8:$J$579,1,FALSE),"X"))="X"),"","X")</f>
        <v/>
      </c>
      <c r="L34" s="95" t="str">
        <f>IF(((IFERROR(VLOOKUP($B34,'Vapor Pressure (VP)'!$N$9:$N$603,1,FALSE),"X"))="X"),"","X")</f>
        <v/>
      </c>
      <c r="M34" s="95" t="str">
        <f>IF(((IFERROR(VLOOKUP($B34,'Solubility (S)'!$P$9:$P$598,1,FALSE),"X"))="X"),"","X")</f>
        <v/>
      </c>
      <c r="N34" s="95" t="str">
        <f>IF(((IFERROR(VLOOKUP($B34,'Henry''s Constant (KH)'!$O$9:$O$527,1,FALSE),"X"))="X"),"","X")</f>
        <v/>
      </c>
      <c r="O34" s="95" t="str">
        <f>IF(((IFERROR(VLOOKUP($B34,'Log Koc'!$H$8:$H$553,1,FALSE),"X"))="X"),"","X")</f>
        <v/>
      </c>
      <c r="P34" s="95" t="str">
        <f>IF(((IFERROR(VLOOKUP($B34,Biotransformation!$T$23:$T$396,1,FALSE),"X"))="X"),"","X")</f>
        <v>X</v>
      </c>
    </row>
    <row r="35" spans="1:17" ht="64" x14ac:dyDescent="0.2">
      <c r="A35" s="274">
        <f t="shared" si="1"/>
        <v>29</v>
      </c>
      <c r="B35" s="386" t="s">
        <v>1294</v>
      </c>
      <c r="C35" s="33" t="s">
        <v>1353</v>
      </c>
      <c r="D35" s="380" t="s">
        <v>1395</v>
      </c>
      <c r="E35" s="382"/>
      <c r="F35" s="53">
        <f t="shared" si="0"/>
        <v>29</v>
      </c>
      <c r="G35" s="95" t="str">
        <f>IF(((IFERROR(VLOOKUP($B35,'Main Table'!$I$10:$I$555,1,FALSE),"X"))="X"),"","X")</f>
        <v/>
      </c>
      <c r="H35" s="95" t="str">
        <f>IF(((IFERROR(VLOOKUP($B35,'Main Table'!$M$10:$M$555,1,FALSE),"X"))="X"),"","X")</f>
        <v/>
      </c>
      <c r="I35" s="95" t="str">
        <f>IF(((IFERROR(VLOOKUP($B35,'Main Table'!$Q$10:$Q$555,1,FALSE),"X"))="X"),"","X")</f>
        <v/>
      </c>
      <c r="J35" s="95" t="str">
        <f>IF(((IFERROR(VLOOKUP($B35,'Critical Micelle Conc. (CMC)'!$P$9:$P$533,1,FALSE),"X"))="X"),"","X")</f>
        <v/>
      </c>
      <c r="K35" s="95" t="str">
        <f>IF(((IFERROR(VLOOKUP($B35,pKa!$J$8:$J$579,1,FALSE),"X"))="X"),"","X")</f>
        <v/>
      </c>
      <c r="L35" s="95" t="str">
        <f>IF(((IFERROR(VLOOKUP($B35,'Vapor Pressure (VP)'!$N$9:$N$603,1,FALSE),"X"))="X"),"","X")</f>
        <v/>
      </c>
      <c r="M35" s="95" t="str">
        <f>IF(((IFERROR(VLOOKUP($B35,'Solubility (S)'!$P$9:$P$598,1,FALSE),"X"))="X"),"","X")</f>
        <v/>
      </c>
      <c r="N35" s="95" t="str">
        <f>IF(((IFERROR(VLOOKUP($B35,'Henry''s Constant (KH)'!$O$9:$O$527,1,FALSE),"X"))="X"),"","X")</f>
        <v/>
      </c>
      <c r="O35" s="95" t="str">
        <f>IF(((IFERROR(VLOOKUP($B35,'Log Koc'!$H$8:$H$553,1,FALSE),"X"))="X"),"","X")</f>
        <v/>
      </c>
      <c r="P35" s="95" t="str">
        <f>IF(((IFERROR(VLOOKUP($B35,Biotransformation!$T$23:$T$396,1,FALSE),"X"))="X"),"","X")</f>
        <v>X</v>
      </c>
    </row>
    <row r="36" spans="1:17" ht="48" x14ac:dyDescent="0.2">
      <c r="A36" s="274">
        <f t="shared" si="1"/>
        <v>30</v>
      </c>
      <c r="B36" s="575" t="s">
        <v>643</v>
      </c>
      <c r="C36" s="33" t="s">
        <v>1353</v>
      </c>
      <c r="D36" s="576" t="s">
        <v>1396</v>
      </c>
      <c r="E36" s="576"/>
      <c r="F36" s="53">
        <f t="shared" si="0"/>
        <v>30</v>
      </c>
      <c r="G36" s="95" t="str">
        <f>IF(((IFERROR(VLOOKUP($B36,'Main Table'!$I$10:$I$555,1,FALSE),"X"))="X"),"","X")</f>
        <v/>
      </c>
      <c r="H36" s="95" t="str">
        <f>IF(((IFERROR(VLOOKUP($B36,'Main Table'!$M$10:$M$555,1,FALSE),"X"))="X"),"","X")</f>
        <v/>
      </c>
      <c r="I36" s="95" t="str">
        <f>IF(((IFERROR(VLOOKUP($B36,'Main Table'!$Q$10:$Q$555,1,FALSE),"X"))="X"),"","X")</f>
        <v/>
      </c>
      <c r="J36" s="95" t="str">
        <f>IF(((IFERROR(VLOOKUP($B36,'Critical Micelle Conc. (CMC)'!$P$9:$P$533,1,FALSE),"X"))="X"),"","X")</f>
        <v>X</v>
      </c>
      <c r="K36" s="95" t="str">
        <f>IF(((IFERROR(VLOOKUP($B36,pKa!$J$8:$J$579,1,FALSE),"X"))="X"),"","X")</f>
        <v/>
      </c>
      <c r="L36" s="95" t="str">
        <f>IF(((IFERROR(VLOOKUP($B36,'Vapor Pressure (VP)'!$N$9:$N$603,1,FALSE),"X"))="X"),"","X")</f>
        <v/>
      </c>
      <c r="M36" s="95" t="str">
        <f>IF(((IFERROR(VLOOKUP($B36,'Solubility (S)'!$P$9:$P$598,1,FALSE),"X"))="X"),"","X")</f>
        <v/>
      </c>
      <c r="N36" s="95" t="str">
        <f>IF(((IFERROR(VLOOKUP($B36,'Henry''s Constant (KH)'!$O$9:$O$527,1,FALSE),"X"))="X"),"","X")</f>
        <v/>
      </c>
      <c r="O36" s="95" t="str">
        <f>IF(((IFERROR(VLOOKUP($B36,'Log Koc'!$H$8:$H$553,1,FALSE),"X"))="X"),"","X")</f>
        <v/>
      </c>
      <c r="P36" s="95" t="str">
        <f>IF(((IFERROR(VLOOKUP($B36,Biotransformation!$T$23:$T$396,1,FALSE),"X"))="X"),"","X")</f>
        <v/>
      </c>
      <c r="Q36" s="532"/>
    </row>
    <row r="37" spans="1:17" ht="80" x14ac:dyDescent="0.2">
      <c r="A37" s="274">
        <f t="shared" si="1"/>
        <v>31</v>
      </c>
      <c r="B37" s="575" t="s">
        <v>1141</v>
      </c>
      <c r="C37" s="33" t="s">
        <v>1353</v>
      </c>
      <c r="D37" s="576" t="s">
        <v>1397</v>
      </c>
      <c r="E37" s="576"/>
      <c r="F37" s="53">
        <f t="shared" si="0"/>
        <v>31</v>
      </c>
      <c r="G37" s="95" t="str">
        <f>IF(((IFERROR(VLOOKUP($B37,'Main Table'!$I$10:$I$555,1,FALSE),"X"))="X"),"","X")</f>
        <v/>
      </c>
      <c r="H37" s="95" t="str">
        <f>IF(((IFERROR(VLOOKUP($B37,'Main Table'!$M$10:$M$555,1,FALSE),"X"))="X"),"","X")</f>
        <v/>
      </c>
      <c r="I37" s="95" t="str">
        <f>IF(((IFERROR(VLOOKUP($B37,'Main Table'!$Q$10:$Q$555,1,FALSE),"X"))="X"),"","X")</f>
        <v/>
      </c>
      <c r="J37" s="95" t="str">
        <f>IF(((IFERROR(VLOOKUP($B37,'Critical Micelle Conc. (CMC)'!$P$9:$P$533,1,FALSE),"X"))="X"),"","X")</f>
        <v/>
      </c>
      <c r="K37" s="95" t="str">
        <f>IF(((IFERROR(VLOOKUP($B37,pKa!$J$8:$J$579,1,FALSE),"X"))="X"),"","X")</f>
        <v/>
      </c>
      <c r="L37" s="95" t="str">
        <f>IF(((IFERROR(VLOOKUP($B37,'Vapor Pressure (VP)'!$N$9:$N$603,1,FALSE),"X"))="X"),"","X")</f>
        <v/>
      </c>
      <c r="M37" s="95" t="str">
        <f>IF(((IFERROR(VLOOKUP($B37,'Solubility (S)'!$P$9:$P$598,1,FALSE),"X"))="X"),"","X")</f>
        <v/>
      </c>
      <c r="N37" s="95" t="str">
        <f>IF(((IFERROR(VLOOKUP($B37,'Henry''s Constant (KH)'!$O$9:$O$527,1,FALSE),"X"))="X"),"","X")</f>
        <v/>
      </c>
      <c r="O37" s="95" t="str">
        <f>IF(((IFERROR(VLOOKUP($B37,'Log Koc'!$H$8:$H$553,1,FALSE),"X"))="X"),"","X")</f>
        <v/>
      </c>
      <c r="P37" s="95" t="str">
        <f>IF(((IFERROR(VLOOKUP($B37,Biotransformation!$T$23:$T$396,1,FALSE),"X"))="X"),"","X")</f>
        <v>X</v>
      </c>
      <c r="Q37" s="532"/>
    </row>
    <row r="38" spans="1:17" ht="32" x14ac:dyDescent="0.2">
      <c r="A38" s="274">
        <f t="shared" si="1"/>
        <v>32</v>
      </c>
      <c r="B38" s="575" t="s">
        <v>436</v>
      </c>
      <c r="C38" s="33" t="s">
        <v>1353</v>
      </c>
      <c r="D38" s="576" t="s">
        <v>1398</v>
      </c>
      <c r="E38" s="576"/>
      <c r="F38" s="53">
        <f t="shared" si="0"/>
        <v>32</v>
      </c>
      <c r="G38" s="95" t="str">
        <f>IF(((IFERROR(VLOOKUP($B38,'Main Table'!$I$10:$I$555,1,FALSE),"X"))="X"),"","X")</f>
        <v>X</v>
      </c>
      <c r="H38" s="95" t="str">
        <f>IF(((IFERROR(VLOOKUP($B38,'Main Table'!$M$10:$M$555,1,FALSE),"X"))="X"),"","X")</f>
        <v>X</v>
      </c>
      <c r="I38" s="95" t="str">
        <f>IF(((IFERROR(VLOOKUP($B38,'Main Table'!$Q$10:$Q$555,1,FALSE),"X"))="X"),"","X")</f>
        <v>X</v>
      </c>
      <c r="J38" s="95" t="str">
        <f>IF(((IFERROR(VLOOKUP($B38,'Critical Micelle Conc. (CMC)'!$P$9:$P$533,1,FALSE),"X"))="X"),"","X")</f>
        <v/>
      </c>
      <c r="K38" s="95" t="str">
        <f>IF(((IFERROR(VLOOKUP($B38,pKa!$J$8:$J$579,1,FALSE),"X"))="X"),"","X")</f>
        <v>X</v>
      </c>
      <c r="L38" s="95" t="str">
        <f>IF(((IFERROR(VLOOKUP($B38,'Vapor Pressure (VP)'!$N$9:$N$603,1,FALSE),"X"))="X"),"","X")</f>
        <v>X</v>
      </c>
      <c r="M38" s="95" t="str">
        <f>IF(((IFERROR(VLOOKUP($B38,'Solubility (S)'!$P$9:$P$598,1,FALSE),"X"))="X"),"","X")</f>
        <v>X</v>
      </c>
      <c r="N38" s="95" t="str">
        <f>IF(((IFERROR(VLOOKUP($B38,'Henry''s Constant (KH)'!$O$9:$O$527,1,FALSE),"X"))="X"),"","X")</f>
        <v/>
      </c>
      <c r="O38" s="95" t="str">
        <f>IF(((IFERROR(VLOOKUP($B38,'Log Koc'!$H$8:$H$553,1,FALSE),"X"))="X"),"","X")</f>
        <v/>
      </c>
      <c r="P38" s="95" t="str">
        <f>IF(((IFERROR(VLOOKUP($B38,Biotransformation!$T$23:$T$396,1,FALSE),"X"))="X"),"","X")</f>
        <v/>
      </c>
      <c r="Q38" s="532"/>
    </row>
    <row r="39" spans="1:17" ht="64" x14ac:dyDescent="0.2">
      <c r="A39" s="274">
        <f t="shared" si="1"/>
        <v>33</v>
      </c>
      <c r="B39" s="33" t="s">
        <v>596</v>
      </c>
      <c r="C39" s="33" t="s">
        <v>1355</v>
      </c>
      <c r="D39" s="576" t="s">
        <v>1399</v>
      </c>
      <c r="E39" s="26" t="s">
        <v>1400</v>
      </c>
      <c r="F39" s="53">
        <f t="shared" si="0"/>
        <v>33</v>
      </c>
      <c r="G39" s="95" t="str">
        <f>IF(((IFERROR(VLOOKUP($B39,'Main Table'!$I$10:$I$555,1,FALSE),"X"))="X"),"","X")</f>
        <v/>
      </c>
      <c r="H39" s="95" t="str">
        <f>IF(((IFERROR(VLOOKUP($B39,'Main Table'!$M$10:$M$555,1,FALSE),"X"))="X"),"","X")</f>
        <v/>
      </c>
      <c r="I39" s="95" t="str">
        <f>IF(((IFERROR(VLOOKUP($B39,'Main Table'!$Q$10:$Q$555,1,FALSE),"X"))="X"),"","X")</f>
        <v/>
      </c>
      <c r="J39" s="95" t="str">
        <f>IF(((IFERROR(VLOOKUP($B39,'Critical Micelle Conc. (CMC)'!$P$9:$P$533,1,FALSE),"X"))="X"),"","X")</f>
        <v/>
      </c>
      <c r="K39" s="95" t="str">
        <f>IF(((IFERROR(VLOOKUP($B39,pKa!$J$8:$J$579,1,FALSE),"X"))="X"),"","X")</f>
        <v/>
      </c>
      <c r="L39" s="95" t="str">
        <f>IF(((IFERROR(VLOOKUP($B39,'Vapor Pressure (VP)'!$N$9:$N$603,1,FALSE),"X"))="X"),"","X")</f>
        <v/>
      </c>
      <c r="M39" s="95" t="str">
        <f>IF(((IFERROR(VLOOKUP($B39,'Solubility (S)'!$P$9:$P$598,1,FALSE),"X"))="X"),"","X")</f>
        <v/>
      </c>
      <c r="N39" s="95" t="str">
        <f>IF(((IFERROR(VLOOKUP($B39,'Henry''s Constant (KH)'!$O$9:$O$527,1,FALSE),"X"))="X"),"","X")</f>
        <v>X</v>
      </c>
      <c r="O39" s="95" t="str">
        <f>IF(((IFERROR(VLOOKUP($B39,'Log Koc'!$H$8:$H$553,1,FALSE),"X"))="X"),"","X")</f>
        <v/>
      </c>
      <c r="P39" s="95" t="str">
        <f>IF(((IFERROR(VLOOKUP($B39,Biotransformation!$T$23:$T$396,1,FALSE),"X"))="X"),"","X")</f>
        <v/>
      </c>
      <c r="Q39" s="532"/>
    </row>
    <row r="40" spans="1:17" ht="64" x14ac:dyDescent="0.2">
      <c r="A40" s="274">
        <f t="shared" si="1"/>
        <v>34</v>
      </c>
      <c r="B40" s="33" t="s">
        <v>538</v>
      </c>
      <c r="C40" s="33" t="s">
        <v>1353</v>
      </c>
      <c r="D40" s="520" t="s">
        <v>1401</v>
      </c>
      <c r="E40" s="34"/>
      <c r="F40" s="53">
        <f t="shared" si="0"/>
        <v>34</v>
      </c>
      <c r="G40" s="95" t="str">
        <f>IF(((IFERROR(VLOOKUP($B40,'Main Table'!$I$10:$I$555,1,FALSE),"X"))="X"),"","X")</f>
        <v/>
      </c>
      <c r="H40" s="95" t="str">
        <f>IF(((IFERROR(VLOOKUP($B40,'Main Table'!$M$10:$M$555,1,FALSE),"X"))="X"),"","X")</f>
        <v/>
      </c>
      <c r="I40" s="95" t="str">
        <f>IF(((IFERROR(VLOOKUP($B40,'Main Table'!$Q$10:$Q$555,1,FALSE),"X"))="X"),"","X")</f>
        <v/>
      </c>
      <c r="J40" s="95" t="str">
        <f>IF(((IFERROR(VLOOKUP($B40,'Critical Micelle Conc. (CMC)'!$P$9:$P$533,1,FALSE),"X"))="X"),"","X")</f>
        <v/>
      </c>
      <c r="K40" s="95" t="str">
        <f>IF(((IFERROR(VLOOKUP($B40,pKa!$J$8:$J$579,1,FALSE),"X"))="X"),"","X")</f>
        <v/>
      </c>
      <c r="L40" s="95" t="str">
        <f>IF(((IFERROR(VLOOKUP($B40,'Vapor Pressure (VP)'!$N$9:$N$603,1,FALSE),"X"))="X"),"","X")</f>
        <v/>
      </c>
      <c r="M40" s="95" t="str">
        <f>IF(((IFERROR(VLOOKUP($B40,'Solubility (S)'!$P$9:$P$598,1,FALSE),"X"))="X"),"","X")</f>
        <v>X</v>
      </c>
      <c r="N40" s="95" t="str">
        <f>IF(((IFERROR(VLOOKUP($B40,'Henry''s Constant (KH)'!$O$9:$O$527,1,FALSE),"X"))="X"),"","X")</f>
        <v>X</v>
      </c>
      <c r="O40" s="95" t="str">
        <f>IF(((IFERROR(VLOOKUP($B40,'Log Koc'!$H$8:$H$553,1,FALSE),"X"))="X"),"","X")</f>
        <v/>
      </c>
      <c r="P40" s="95" t="str">
        <f>IF(((IFERROR(VLOOKUP($B40,Biotransformation!$T$23:$T$396,1,FALSE),"X"))="X"),"","X")</f>
        <v/>
      </c>
    </row>
    <row r="41" spans="1:17" ht="80" x14ac:dyDescent="0.2">
      <c r="A41" s="274">
        <f t="shared" si="1"/>
        <v>35</v>
      </c>
      <c r="B41" s="32" t="s">
        <v>710</v>
      </c>
      <c r="C41" s="33" t="s">
        <v>1353</v>
      </c>
      <c r="D41" s="35" t="s">
        <v>1402</v>
      </c>
      <c r="E41" s="34" t="s">
        <v>1403</v>
      </c>
      <c r="F41" s="53">
        <f t="shared" si="0"/>
        <v>35</v>
      </c>
      <c r="G41" s="95" t="str">
        <f>IF(((IFERROR(VLOOKUP($B41,'Main Table'!$I$10:$I$555,1,FALSE),"X"))="X"),"","X")</f>
        <v/>
      </c>
      <c r="H41" s="95" t="str">
        <f>IF(((IFERROR(VLOOKUP($B41,'Main Table'!$M$10:$M$555,1,FALSE),"X"))="X"),"","X")</f>
        <v/>
      </c>
      <c r="I41" s="95" t="str">
        <f>IF(((IFERROR(VLOOKUP($B41,'Main Table'!$Q$10:$Q$555,1,FALSE),"X"))="X"),"","X")</f>
        <v/>
      </c>
      <c r="J41" s="95" t="str">
        <f>IF(((IFERROR(VLOOKUP($B41,'Critical Micelle Conc. (CMC)'!$P$9:$P$533,1,FALSE),"X"))="X"),"","X")</f>
        <v/>
      </c>
      <c r="K41" s="95" t="str">
        <f>IF(((IFERROR(VLOOKUP($B41,pKa!$J$8:$J$579,1,FALSE),"X"))="X"),"","X")</f>
        <v/>
      </c>
      <c r="L41" s="95" t="str">
        <f>IF(((IFERROR(VLOOKUP($B41,'Vapor Pressure (VP)'!$N$9:$N$603,1,FALSE),"X"))="X"),"","X")</f>
        <v/>
      </c>
      <c r="M41" s="95" t="str">
        <f>IF(((IFERROR(VLOOKUP($B41,'Solubility (S)'!$P$9:$P$598,1,FALSE),"X"))="X"),"","X")</f>
        <v/>
      </c>
      <c r="N41" s="95" t="str">
        <f>IF(((IFERROR(VLOOKUP($B41,'Henry''s Constant (KH)'!$O$9:$O$527,1,FALSE),"X"))="X"),"","X")</f>
        <v/>
      </c>
      <c r="O41" s="95" t="str">
        <f>IF(((IFERROR(VLOOKUP($B41,'Log Koc'!$H$8:$H$553,1,FALSE),"X"))="X"),"","X")</f>
        <v>X</v>
      </c>
      <c r="P41" s="95" t="str">
        <f>IF(((IFERROR(VLOOKUP($B41,Biotransformation!$T$23:$T$396,1,FALSE),"X"))="X"),"","X")</f>
        <v/>
      </c>
    </row>
    <row r="42" spans="1:17" ht="48" x14ac:dyDescent="0.2">
      <c r="A42" s="274">
        <f t="shared" si="1"/>
        <v>36</v>
      </c>
      <c r="B42" s="33" t="s">
        <v>31</v>
      </c>
      <c r="C42" s="33" t="s">
        <v>1355</v>
      </c>
      <c r="D42" s="34" t="s">
        <v>1404</v>
      </c>
      <c r="E42" s="34"/>
      <c r="F42" s="53">
        <f t="shared" si="0"/>
        <v>36</v>
      </c>
      <c r="G42" s="95" t="str">
        <f>IF(((IFERROR(VLOOKUP($B42,'Main Table'!$I$10:$I$555,1,FALSE),"X"))="X"),"","X")</f>
        <v>X</v>
      </c>
      <c r="H42" s="95" t="str">
        <f>IF(((IFERROR(VLOOKUP($B42,'Main Table'!$M$10:$M$555,1,FALSE),"X"))="X"),"","X")</f>
        <v>X</v>
      </c>
      <c r="I42" s="95" t="str">
        <f>IF(((IFERROR(VLOOKUP($B42,'Main Table'!$Q$10:$Q$555,1,FALSE),"X"))="X"),"","X")</f>
        <v>X</v>
      </c>
      <c r="J42" s="95" t="str">
        <f>IF(((IFERROR(VLOOKUP($B42,'Critical Micelle Conc. (CMC)'!$P$9:$P$533,1,FALSE),"X"))="X"),"","X")</f>
        <v/>
      </c>
      <c r="K42" s="95" t="str">
        <f>IF(((IFERROR(VLOOKUP($B42,pKa!$J$8:$J$579,1,FALSE),"X"))="X"),"","X")</f>
        <v>X</v>
      </c>
      <c r="L42" s="95" t="str">
        <f>IF(((IFERROR(VLOOKUP($B42,'Vapor Pressure (VP)'!$N$9:$N$603,1,FALSE),"X"))="X"),"","X")</f>
        <v>X</v>
      </c>
      <c r="M42" s="95" t="str">
        <f>IF(((IFERROR(VLOOKUP($B42,'Solubility (S)'!$P$9:$P$598,1,FALSE),"X"))="X"),"","X")</f>
        <v>X</v>
      </c>
      <c r="N42" s="95" t="str">
        <f>IF(((IFERROR(VLOOKUP($B42,'Henry''s Constant (KH)'!$O$9:$O$527,1,FALSE),"X"))="X"),"","X")</f>
        <v>X</v>
      </c>
      <c r="O42" s="95" t="str">
        <f>IF(((IFERROR(VLOOKUP($B42,'Log Koc'!$H$8:$H$553,1,FALSE),"X"))="X"),"","X")</f>
        <v/>
      </c>
      <c r="P42" s="95" t="str">
        <f>IF(((IFERROR(VLOOKUP($B42,Biotransformation!$T$23:$T$396,1,FALSE),"X"))="X"),"","X")</f>
        <v/>
      </c>
    </row>
    <row r="43" spans="1:17" ht="80" x14ac:dyDescent="0.2">
      <c r="A43" s="274">
        <f t="shared" si="1"/>
        <v>37</v>
      </c>
      <c r="B43" s="33" t="s">
        <v>1028</v>
      </c>
      <c r="C43" s="33" t="s">
        <v>1353</v>
      </c>
      <c r="D43" s="34" t="s">
        <v>1405</v>
      </c>
      <c r="E43" s="34" t="s">
        <v>1406</v>
      </c>
      <c r="F43" s="53">
        <f t="shared" ref="F43:F44" si="4">A43</f>
        <v>37</v>
      </c>
      <c r="G43" s="95" t="str">
        <f>IF(((IFERROR(VLOOKUP($B43,'Main Table'!$I$10:$I$555,1,FALSE),"X"))="X"),"","X")</f>
        <v/>
      </c>
      <c r="H43" s="95" t="str">
        <f>IF(((IFERROR(VLOOKUP($B43,'Main Table'!$M$10:$M$555,1,FALSE),"X"))="X"),"","X")</f>
        <v/>
      </c>
      <c r="I43" s="95" t="str">
        <f>IF(((IFERROR(VLOOKUP($B43,'Main Table'!$Q$10:$Q$555,1,FALSE),"X"))="X"),"","X")</f>
        <v/>
      </c>
      <c r="J43" s="95" t="str">
        <f>IF(((IFERROR(VLOOKUP($B43,'Critical Micelle Conc. (CMC)'!$P$9:$P$533,1,FALSE),"X"))="X"),"","X")</f>
        <v/>
      </c>
      <c r="K43" s="95" t="str">
        <f>IF(((IFERROR(VLOOKUP($B43,pKa!$J$8:$J$579,1,FALSE),"X"))="X"),"","X")</f>
        <v/>
      </c>
      <c r="L43" s="95" t="str">
        <f>IF(((IFERROR(VLOOKUP($B43,'Vapor Pressure (VP)'!$N$9:$N$603,1,FALSE),"X"))="X"),"","X")</f>
        <v/>
      </c>
      <c r="M43" s="95" t="str">
        <f>IF(((IFERROR(VLOOKUP($B43,'Solubility (S)'!$P$9:$P$598,1,FALSE),"X"))="X"),"","X")</f>
        <v/>
      </c>
      <c r="N43" s="95" t="str">
        <f>IF(((IFERROR(VLOOKUP($B43,'Henry''s Constant (KH)'!$O$9:$O$527,1,FALSE),"X"))="X"),"","X")</f>
        <v/>
      </c>
      <c r="O43" s="95" t="str">
        <f>IF(((IFERROR(VLOOKUP($B43,'Log Koc'!$H$8:$H$553,1,FALSE),"X"))="X"),"","X")</f>
        <v/>
      </c>
      <c r="P43" s="95" t="str">
        <f>IF(((IFERROR(VLOOKUP($B43,Biotransformation!$T$23:$T$396,1,FALSE),"X"))="X"),"","X")</f>
        <v>X</v>
      </c>
    </row>
    <row r="44" spans="1:17" ht="80" x14ac:dyDescent="0.2">
      <c r="A44" s="274">
        <f t="shared" si="1"/>
        <v>38</v>
      </c>
      <c r="B44" s="33" t="s">
        <v>1023</v>
      </c>
      <c r="C44" s="33" t="s">
        <v>1353</v>
      </c>
      <c r="D44" s="34" t="s">
        <v>1407</v>
      </c>
      <c r="E44" s="34"/>
      <c r="F44" s="53">
        <f t="shared" si="4"/>
        <v>38</v>
      </c>
      <c r="G44" s="95" t="str">
        <f>IF(((IFERROR(VLOOKUP($B44,'Main Table'!$I$10:$I$555,1,FALSE),"X"))="X"),"","X")</f>
        <v/>
      </c>
      <c r="H44" s="95" t="str">
        <f>IF(((IFERROR(VLOOKUP($B44,'Main Table'!$M$10:$M$555,1,FALSE),"X"))="X"),"","X")</f>
        <v/>
      </c>
      <c r="I44" s="95" t="str">
        <f>IF(((IFERROR(VLOOKUP($B44,'Main Table'!$Q$10:$Q$555,1,FALSE),"X"))="X"),"","X")</f>
        <v/>
      </c>
      <c r="J44" s="95" t="str">
        <f>IF(((IFERROR(VLOOKUP($B44,'Critical Micelle Conc. (CMC)'!$P$9:$P$533,1,FALSE),"X"))="X"),"","X")</f>
        <v/>
      </c>
      <c r="K44" s="95" t="str">
        <f>IF(((IFERROR(VLOOKUP($B44,pKa!$J$8:$J$579,1,FALSE),"X"))="X"),"","X")</f>
        <v/>
      </c>
      <c r="L44" s="95" t="str">
        <f>IF(((IFERROR(VLOOKUP($B44,'Vapor Pressure (VP)'!$N$9:$N$603,1,FALSE),"X"))="X"),"","X")</f>
        <v/>
      </c>
      <c r="M44" s="95" t="str">
        <f>IF(((IFERROR(VLOOKUP($B44,'Solubility (S)'!$P$9:$P$598,1,FALSE),"X"))="X"),"","X")</f>
        <v/>
      </c>
      <c r="N44" s="95" t="str">
        <f>IF(((IFERROR(VLOOKUP($B44,'Henry''s Constant (KH)'!$O$9:$O$527,1,FALSE),"X"))="X"),"","X")</f>
        <v/>
      </c>
      <c r="O44" s="95" t="str">
        <f>IF(((IFERROR(VLOOKUP($B44,'Log Koc'!$H$8:$H$553,1,FALSE),"X"))="X"),"","X")</f>
        <v/>
      </c>
      <c r="P44" s="95" t="str">
        <f>IF(((IFERROR(VLOOKUP($B44,Biotransformation!$T$23:$T$396,1,FALSE),"X"))="X"),"","X")</f>
        <v>X</v>
      </c>
    </row>
    <row r="45" spans="1:17" ht="48" x14ac:dyDescent="0.2">
      <c r="A45" s="274">
        <f t="shared" si="1"/>
        <v>39</v>
      </c>
      <c r="B45" s="33" t="s">
        <v>575</v>
      </c>
      <c r="C45" s="33" t="s">
        <v>1353</v>
      </c>
      <c r="D45" s="34" t="s">
        <v>1408</v>
      </c>
      <c r="E45" s="34"/>
      <c r="F45" s="53">
        <f t="shared" ref="F45:F110" si="5">A45</f>
        <v>39</v>
      </c>
      <c r="G45" s="95" t="str">
        <f>IF(((IFERROR(VLOOKUP($B45,'Main Table'!$I$10:$I$555,1,FALSE),"X"))="X"),"","X")</f>
        <v/>
      </c>
      <c r="H45" s="95" t="str">
        <f>IF(((IFERROR(VLOOKUP($B45,'Main Table'!$M$10:$M$555,1,FALSE),"X"))="X"),"","X")</f>
        <v/>
      </c>
      <c r="I45" s="95" t="str">
        <f>IF(((IFERROR(VLOOKUP($B45,'Main Table'!$Q$10:$Q$555,1,FALSE),"X"))="X"),"","X")</f>
        <v/>
      </c>
      <c r="J45" s="95" t="str">
        <f>IF(((IFERROR(VLOOKUP($B45,'Critical Micelle Conc. (CMC)'!$P$9:$P$533,1,FALSE),"X"))="X"),"","X")</f>
        <v/>
      </c>
      <c r="K45" s="95" t="str">
        <f>IF(((IFERROR(VLOOKUP($B45,pKa!$J$8:$J$579,1,FALSE),"X"))="X"),"","X")</f>
        <v/>
      </c>
      <c r="L45" s="95" t="str">
        <f>IF(((IFERROR(VLOOKUP($B45,'Vapor Pressure (VP)'!$N$9:$N$603,1,FALSE),"X"))="X"),"","X")</f>
        <v>X</v>
      </c>
      <c r="M45" s="95" t="str">
        <f>IF(((IFERROR(VLOOKUP($B45,'Solubility (S)'!$P$9:$P$598,1,FALSE),"X"))="X"),"","X")</f>
        <v/>
      </c>
      <c r="N45" s="95" t="str">
        <f>IF(((IFERROR(VLOOKUP($B45,'Henry''s Constant (KH)'!$O$9:$O$527,1,FALSE),"X"))="X"),"","X")</f>
        <v/>
      </c>
      <c r="O45" s="95" t="str">
        <f>IF(((IFERROR(VLOOKUP($B45,'Log Koc'!$H$8:$H$553,1,FALSE),"X"))="X"),"","X")</f>
        <v/>
      </c>
      <c r="P45" s="95" t="str">
        <f>IF(((IFERROR(VLOOKUP($B45,Biotransformation!$T$23:$T$396,1,FALSE),"X"))="X"),"","X")</f>
        <v/>
      </c>
    </row>
    <row r="46" spans="1:17" ht="80" x14ac:dyDescent="0.2">
      <c r="A46" s="274">
        <f t="shared" si="1"/>
        <v>40</v>
      </c>
      <c r="B46" s="33" t="s">
        <v>533</v>
      </c>
      <c r="C46" s="33" t="s">
        <v>1353</v>
      </c>
      <c r="D46" s="34" t="s">
        <v>1409</v>
      </c>
      <c r="E46" s="34" t="s">
        <v>1410</v>
      </c>
      <c r="F46" s="53">
        <f t="shared" si="5"/>
        <v>40</v>
      </c>
      <c r="G46" s="95" t="str">
        <f>IF(((IFERROR(VLOOKUP($B46,'Main Table'!$I$10:$I$555,1,FALSE),"X"))="X"),"","X")</f>
        <v/>
      </c>
      <c r="H46" s="95" t="str">
        <f>IF(((IFERROR(VLOOKUP($B46,'Main Table'!$M$10:$M$555,1,FALSE),"X"))="X"),"","X")</f>
        <v/>
      </c>
      <c r="I46" s="95" t="str">
        <f>IF(((IFERROR(VLOOKUP($B46,'Main Table'!$Q$10:$Q$555,1,FALSE),"X"))="X"),"","X")</f>
        <v/>
      </c>
      <c r="J46" s="95" t="str">
        <f>IF(((IFERROR(VLOOKUP($B46,'Critical Micelle Conc. (CMC)'!$P$9:$P$533,1,FALSE),"X"))="X"),"","X")</f>
        <v/>
      </c>
      <c r="K46" s="95" t="str">
        <f>IF(((IFERROR(VLOOKUP($B46,pKa!$J$8:$J$579,1,FALSE),"X"))="X"),"","X")</f>
        <v>X</v>
      </c>
      <c r="L46" s="95" t="str">
        <f>IF(((IFERROR(VLOOKUP($B46,'Vapor Pressure (VP)'!$N$9:$N$603,1,FALSE),"X"))="X"),"","X")</f>
        <v>X</v>
      </c>
      <c r="M46" s="95" t="str">
        <f>IF(((IFERROR(VLOOKUP($B46,'Solubility (S)'!$P$9:$P$598,1,FALSE),"X"))="X"),"","X")</f>
        <v>X</v>
      </c>
      <c r="N46" s="95" t="str">
        <f>IF(((IFERROR(VLOOKUP($B46,'Henry''s Constant (KH)'!$O$9:$O$527,1,FALSE),"X"))="X"),"","X")</f>
        <v>X</v>
      </c>
      <c r="O46" s="95" t="str">
        <f>IF(((IFERROR(VLOOKUP($B46,'Log Koc'!$H$8:$H$553,1,FALSE),"X"))="X"),"","X")</f>
        <v>X</v>
      </c>
      <c r="P46" s="95" t="str">
        <f>IF(((IFERROR(VLOOKUP($B46,Biotransformation!$T$23:$T$396,1,FALSE),"X"))="X"),"","X")</f>
        <v/>
      </c>
    </row>
    <row r="47" spans="1:17" ht="64" x14ac:dyDescent="0.2">
      <c r="A47" s="274">
        <f t="shared" si="1"/>
        <v>41</v>
      </c>
      <c r="B47" s="578" t="s">
        <v>613</v>
      </c>
      <c r="C47" s="33" t="s">
        <v>1353</v>
      </c>
      <c r="D47" s="45" t="s">
        <v>1411</v>
      </c>
      <c r="E47" s="34"/>
      <c r="F47" s="53">
        <f t="shared" si="5"/>
        <v>41</v>
      </c>
      <c r="G47" s="95" t="str">
        <f>IF(((IFERROR(VLOOKUP($B47,'Main Table'!$I$10:$I$555,1,FALSE),"X"))="X"),"","X")</f>
        <v/>
      </c>
      <c r="H47" s="95" t="str">
        <f>IF(((IFERROR(VLOOKUP($B47,'Main Table'!$M$10:$M$555,1,FALSE),"X"))="X"),"","X")</f>
        <v/>
      </c>
      <c r="I47" s="95" t="str">
        <f>IF(((IFERROR(VLOOKUP($B47,'Main Table'!$Q$10:$Q$555,1,FALSE),"X"))="X"),"","X")</f>
        <v/>
      </c>
      <c r="J47" s="95" t="str">
        <f>IF(((IFERROR(VLOOKUP($B47,'Critical Micelle Conc. (CMC)'!$P$9:$P$533,1,FALSE),"X"))="X"),"","X")</f>
        <v/>
      </c>
      <c r="K47" s="95" t="str">
        <f>IF(((IFERROR(VLOOKUP($B47,pKa!$J$8:$J$579,1,FALSE),"X"))="X"),"","X")</f>
        <v/>
      </c>
      <c r="L47" s="95" t="str">
        <f>IF(((IFERROR(VLOOKUP($B47,'Vapor Pressure (VP)'!$N$9:$N$603,1,FALSE),"X"))="X"),"","X")</f>
        <v/>
      </c>
      <c r="M47" s="95" t="str">
        <f>IF(((IFERROR(VLOOKUP($B47,'Solubility (S)'!$P$9:$P$598,1,FALSE),"X"))="X"),"","X")</f>
        <v/>
      </c>
      <c r="N47" s="95" t="str">
        <f>IF(((IFERROR(VLOOKUP($B47,'Henry''s Constant (KH)'!$O$9:$O$527,1,FALSE),"X"))="X"),"","X")</f>
        <v>X</v>
      </c>
      <c r="O47" s="95" t="str">
        <f>IF(((IFERROR(VLOOKUP($B47,'Log Koc'!$H$8:$H$553,1,FALSE),"X"))="X"),"","X")</f>
        <v/>
      </c>
      <c r="P47" s="95" t="str">
        <f>IF(((IFERROR(VLOOKUP($B47,Biotransformation!$T$23:$T$396,1,FALSE),"X"))="X"),"","X")</f>
        <v/>
      </c>
    </row>
    <row r="48" spans="1:17" ht="48" x14ac:dyDescent="0.2">
      <c r="A48" s="274">
        <f t="shared" si="1"/>
        <v>42</v>
      </c>
      <c r="B48" s="33" t="s">
        <v>948</v>
      </c>
      <c r="C48" s="33" t="s">
        <v>1353</v>
      </c>
      <c r="D48" s="34" t="s">
        <v>1412</v>
      </c>
      <c r="E48" s="34"/>
      <c r="F48" s="53">
        <f t="shared" si="5"/>
        <v>42</v>
      </c>
      <c r="G48" s="95" t="str">
        <f>IF(((IFERROR(VLOOKUP($B48,'Main Table'!$I$10:$I$555,1,FALSE),"X"))="X"),"","X")</f>
        <v/>
      </c>
      <c r="H48" s="95" t="str">
        <f>IF(((IFERROR(VLOOKUP($B48,'Main Table'!$M$10:$M$555,1,FALSE),"X"))="X"),"","X")</f>
        <v/>
      </c>
      <c r="I48" s="95" t="str">
        <f>IF(((IFERROR(VLOOKUP($B48,'Main Table'!$Q$10:$Q$555,1,FALSE),"X"))="X"),"","X")</f>
        <v/>
      </c>
      <c r="J48" s="95" t="str">
        <f>IF(((IFERROR(VLOOKUP($B48,'Critical Micelle Conc. (CMC)'!$P$9:$P$533,1,FALSE),"X"))="X"),"","X")</f>
        <v/>
      </c>
      <c r="K48" s="95" t="str">
        <f>IF(((IFERROR(VLOOKUP($B48,pKa!$J$8:$J$579,1,FALSE),"X"))="X"),"","X")</f>
        <v>X</v>
      </c>
      <c r="L48" s="95" t="str">
        <f>IF(((IFERROR(VLOOKUP($B48,'Vapor Pressure (VP)'!$N$9:$N$603,1,FALSE),"X"))="X"),"","X")</f>
        <v/>
      </c>
      <c r="M48" s="95" t="str">
        <f>IF(((IFERROR(VLOOKUP($B48,'Solubility (S)'!$P$9:$P$598,1,FALSE),"X"))="X"),"","X")</f>
        <v/>
      </c>
      <c r="N48" s="95" t="str">
        <f>IF(((IFERROR(VLOOKUP($B48,'Henry''s Constant (KH)'!$O$9:$O$527,1,FALSE),"X"))="X"),"","X")</f>
        <v/>
      </c>
      <c r="O48" s="95" t="str">
        <f>IF(((IFERROR(VLOOKUP($B48,'Log Koc'!$H$8:$H$553,1,FALSE),"X"))="X"),"","X")</f>
        <v/>
      </c>
      <c r="P48" s="95" t="str">
        <f>IF(((IFERROR(VLOOKUP($B48,Biotransformation!$T$23:$T$396,1,FALSE),"X"))="X"),"","X")</f>
        <v/>
      </c>
    </row>
    <row r="49" spans="1:16" ht="128" x14ac:dyDescent="0.2">
      <c r="A49" s="274">
        <f t="shared" si="1"/>
        <v>43</v>
      </c>
      <c r="B49" s="32" t="s">
        <v>670</v>
      </c>
      <c r="C49" s="33" t="s">
        <v>1353</v>
      </c>
      <c r="D49" s="35" t="s">
        <v>1413</v>
      </c>
      <c r="E49" s="34" t="s">
        <v>1414</v>
      </c>
      <c r="F49" s="53">
        <f t="shared" si="5"/>
        <v>43</v>
      </c>
      <c r="G49" s="95" t="str">
        <f>IF(((IFERROR(VLOOKUP($B49,'Main Table'!$I$10:$I$555,1,FALSE),"X"))="X"),"","X")</f>
        <v/>
      </c>
      <c r="H49" s="95" t="str">
        <f>IF(((IFERROR(VLOOKUP($B49,'Main Table'!$M$10:$M$555,1,FALSE),"X"))="X"),"","X")</f>
        <v/>
      </c>
      <c r="I49" s="95" t="str">
        <f>IF(((IFERROR(VLOOKUP($B49,'Main Table'!$Q$10:$Q$555,1,FALSE),"X"))="X"),"","X")</f>
        <v/>
      </c>
      <c r="J49" s="95" t="str">
        <f>IF(((IFERROR(VLOOKUP($B49,'Critical Micelle Conc. (CMC)'!$P$9:$P$533,1,FALSE),"X"))="X"),"","X")</f>
        <v/>
      </c>
      <c r="K49" s="95" t="str">
        <f>IF(((IFERROR(VLOOKUP($B49,pKa!$J$8:$J$579,1,FALSE),"X"))="X"),"","X")</f>
        <v/>
      </c>
      <c r="L49" s="95" t="str">
        <f>IF(((IFERROR(VLOOKUP($B49,'Vapor Pressure (VP)'!$N$9:$N$603,1,FALSE),"X"))="X"),"","X")</f>
        <v/>
      </c>
      <c r="M49" s="95" t="str">
        <f>IF(((IFERROR(VLOOKUP($B49,'Solubility (S)'!$P$9:$P$598,1,FALSE),"X"))="X"),"","X")</f>
        <v/>
      </c>
      <c r="N49" s="95" t="str">
        <f>IF(((IFERROR(VLOOKUP($B49,'Henry''s Constant (KH)'!$O$9:$O$527,1,FALSE),"X"))="X"),"","X")</f>
        <v/>
      </c>
      <c r="O49" s="95" t="str">
        <f>IF(((IFERROR(VLOOKUP($B49,'Log Koc'!$H$8:$H$553,1,FALSE),"X"))="X"),"","X")</f>
        <v>X</v>
      </c>
      <c r="P49" s="95" t="str">
        <f>IF(((IFERROR(VLOOKUP($B49,Biotransformation!$T$23:$T$396,1,FALSE),"X"))="X"),"","X")</f>
        <v/>
      </c>
    </row>
    <row r="50" spans="1:16" ht="48" x14ac:dyDescent="0.2">
      <c r="A50" s="274">
        <f t="shared" si="1"/>
        <v>44</v>
      </c>
      <c r="B50" s="32" t="s">
        <v>1016</v>
      </c>
      <c r="C50" s="33" t="s">
        <v>1353</v>
      </c>
      <c r="D50" s="35" t="s">
        <v>1415</v>
      </c>
      <c r="E50" s="34" t="s">
        <v>1416</v>
      </c>
      <c r="F50" s="53">
        <f t="shared" si="5"/>
        <v>44</v>
      </c>
      <c r="G50" s="95" t="str">
        <f>IF(((IFERROR(VLOOKUP($B50,'Main Table'!$I$10:$I$555,1,FALSE),"X"))="X"),"","X")</f>
        <v/>
      </c>
      <c r="H50" s="95" t="str">
        <f>IF(((IFERROR(VLOOKUP($B50,'Main Table'!$M$10:$M$555,1,FALSE),"X"))="X"),"","X")</f>
        <v/>
      </c>
      <c r="I50" s="95" t="str">
        <f>IF(((IFERROR(VLOOKUP($B50,'Main Table'!$Q$10:$Q$555,1,FALSE),"X"))="X"),"","X")</f>
        <v/>
      </c>
      <c r="J50" s="95" t="str">
        <f>IF(((IFERROR(VLOOKUP($B50,'Critical Micelle Conc. (CMC)'!$P$9:$P$533,1,FALSE),"X"))="X"),"","X")</f>
        <v/>
      </c>
      <c r="K50" s="95" t="str">
        <f>IF(((IFERROR(VLOOKUP($B50,pKa!$J$8:$J$579,1,FALSE),"X"))="X"),"","X")</f>
        <v/>
      </c>
      <c r="L50" s="95" t="str">
        <f>IF(((IFERROR(VLOOKUP($B50,'Vapor Pressure (VP)'!$N$9:$N$603,1,FALSE),"X"))="X"),"","X")</f>
        <v/>
      </c>
      <c r="M50" s="95" t="str">
        <f>IF(((IFERROR(VLOOKUP($B50,'Solubility (S)'!$P$9:$P$598,1,FALSE),"X"))="X"),"","X")</f>
        <v/>
      </c>
      <c r="N50" s="95" t="str">
        <f>IF(((IFERROR(VLOOKUP($B50,'Henry''s Constant (KH)'!$O$9:$O$527,1,FALSE),"X"))="X"),"","X")</f>
        <v/>
      </c>
      <c r="O50" s="95" t="str">
        <f>IF(((IFERROR(VLOOKUP($B50,'Log Koc'!$H$8:$H$553,1,FALSE),"X"))="X"),"","X")</f>
        <v/>
      </c>
      <c r="P50" s="95" t="str">
        <f>IF(((IFERROR(VLOOKUP($B50,Biotransformation!$T$23:$T$396,1,FALSE),"X"))="X"),"","X")</f>
        <v>X</v>
      </c>
    </row>
    <row r="51" spans="1:16" ht="48" x14ac:dyDescent="0.2">
      <c r="A51" s="274">
        <f t="shared" si="1"/>
        <v>45</v>
      </c>
      <c r="B51" s="32" t="s">
        <v>1013</v>
      </c>
      <c r="C51" s="33" t="s">
        <v>1353</v>
      </c>
      <c r="D51" s="519" t="s">
        <v>1417</v>
      </c>
      <c r="E51" s="34"/>
      <c r="F51" s="53">
        <f t="shared" si="5"/>
        <v>45</v>
      </c>
      <c r="G51" s="95" t="str">
        <f>IF(((IFERROR(VLOOKUP($B51,'Main Table'!$I$10:$I$555,1,FALSE),"X"))="X"),"","X")</f>
        <v/>
      </c>
      <c r="H51" s="95" t="str">
        <f>IF(((IFERROR(VLOOKUP($B51,'Main Table'!$M$10:$M$555,1,FALSE),"X"))="X"),"","X")</f>
        <v/>
      </c>
      <c r="I51" s="95" t="str">
        <f>IF(((IFERROR(VLOOKUP($B51,'Main Table'!$Q$10:$Q$555,1,FALSE),"X"))="X"),"","X")</f>
        <v/>
      </c>
      <c r="J51" s="95" t="str">
        <f>IF(((IFERROR(VLOOKUP($B51,'Critical Micelle Conc. (CMC)'!$P$9:$P$533,1,FALSE),"X"))="X"),"","X")</f>
        <v/>
      </c>
      <c r="K51" s="95" t="str">
        <f>IF(((IFERROR(VLOOKUP($B51,pKa!$J$8:$J$579,1,FALSE),"X"))="X"),"","X")</f>
        <v/>
      </c>
      <c r="L51" s="95" t="str">
        <f>IF(((IFERROR(VLOOKUP($B51,'Vapor Pressure (VP)'!$N$9:$N$603,1,FALSE),"X"))="X"),"","X")</f>
        <v/>
      </c>
      <c r="M51" s="95" t="str">
        <f>IF(((IFERROR(VLOOKUP($B51,'Solubility (S)'!$P$9:$P$598,1,FALSE),"X"))="X"),"","X")</f>
        <v/>
      </c>
      <c r="N51" s="95" t="str">
        <f>IF(((IFERROR(VLOOKUP($B51,'Henry''s Constant (KH)'!$O$9:$O$527,1,FALSE),"X"))="X"),"","X")</f>
        <v/>
      </c>
      <c r="O51" s="95" t="str">
        <f>IF(((IFERROR(VLOOKUP($B51,'Log Koc'!$H$8:$H$553,1,FALSE),"X"))="X"),"","X")</f>
        <v/>
      </c>
      <c r="P51" s="95" t="str">
        <f>IF(((IFERROR(VLOOKUP($B51,Biotransformation!$T$23:$T$396,1,FALSE),"X"))="X"),"","X")</f>
        <v>X</v>
      </c>
    </row>
    <row r="52" spans="1:16" ht="64" x14ac:dyDescent="0.2">
      <c r="A52" s="274">
        <f t="shared" si="1"/>
        <v>46</v>
      </c>
      <c r="B52" s="517" t="s">
        <v>1279</v>
      </c>
      <c r="C52" s="512" t="s">
        <v>1353</v>
      </c>
      <c r="D52" s="517" t="s">
        <v>1418</v>
      </c>
      <c r="E52" s="518"/>
      <c r="F52" s="515">
        <f t="shared" si="5"/>
        <v>46</v>
      </c>
      <c r="G52" s="516" t="str">
        <f>IF(((IFERROR(VLOOKUP($B52,'Main Table'!$I$10:$I$555,1,FALSE),"X"))="X"),"","X")</f>
        <v/>
      </c>
      <c r="H52" s="516" t="str">
        <f>IF(((IFERROR(VLOOKUP($B52,'Main Table'!$M$10:$M$555,1,FALSE),"X"))="X"),"","X")</f>
        <v/>
      </c>
      <c r="I52" s="516" t="str">
        <f>IF(((IFERROR(VLOOKUP($B52,'Main Table'!$Q$10:$Q$555,1,FALSE),"X"))="X"),"","X")</f>
        <v/>
      </c>
      <c r="J52" s="516" t="str">
        <f>IF(((IFERROR(VLOOKUP($B52,'Critical Micelle Conc. (CMC)'!$P$9:$P$533,1,FALSE),"X"))="X"),"","X")</f>
        <v/>
      </c>
      <c r="K52" s="516" t="str">
        <f>IF(((IFERROR(VLOOKUP($B52,pKa!$J$8:$J$579,1,FALSE),"X"))="X"),"","X")</f>
        <v/>
      </c>
      <c r="L52" s="516" t="str">
        <f>IF(((IFERROR(VLOOKUP($B52,'Vapor Pressure (VP)'!$N$9:$N$603,1,FALSE),"X"))="X"),"","X")</f>
        <v/>
      </c>
      <c r="M52" s="516" t="str">
        <f>IF(((IFERROR(VLOOKUP($B52,'Solubility (S)'!$P$9:$P$598,1,FALSE),"X"))="X"),"","X")</f>
        <v/>
      </c>
      <c r="N52" s="516" t="str">
        <f>IF(((IFERROR(VLOOKUP($B52,'Henry''s Constant (KH)'!$O$9:$O$527,1,FALSE),"X"))="X"),"","X")</f>
        <v/>
      </c>
      <c r="O52" s="516" t="str">
        <f>IF(((IFERROR(VLOOKUP($B52,'Log Koc'!$H$8:$H$553,1,FALSE),"X"))="X"),"","X")</f>
        <v/>
      </c>
      <c r="P52" s="516" t="str">
        <f>IF(((IFERROR(VLOOKUP($B52,Biotransformation!$T$23:$T$396,1,FALSE),"X"))="X"),"","X")</f>
        <v/>
      </c>
    </row>
    <row r="53" spans="1:16" ht="64" x14ac:dyDescent="0.2">
      <c r="A53" s="274">
        <f t="shared" si="1"/>
        <v>47</v>
      </c>
      <c r="B53" s="33" t="s">
        <v>528</v>
      </c>
      <c r="C53" s="33" t="s">
        <v>1353</v>
      </c>
      <c r="D53" s="34" t="s">
        <v>1419</v>
      </c>
      <c r="E53" s="34"/>
      <c r="F53" s="53">
        <f t="shared" si="5"/>
        <v>47</v>
      </c>
      <c r="G53" s="95" t="str">
        <f>IF(((IFERROR(VLOOKUP($B53,'Main Table'!$I$10:$I$555,1,FALSE),"X"))="X"),"","X")</f>
        <v/>
      </c>
      <c r="H53" s="95" t="str">
        <f>IF(((IFERROR(VLOOKUP($B53,'Main Table'!$M$10:$M$555,1,FALSE),"X"))="X"),"","X")</f>
        <v/>
      </c>
      <c r="I53" s="95" t="str">
        <f>IF(((IFERROR(VLOOKUP($B53,'Main Table'!$Q$10:$Q$555,1,FALSE),"X"))="X"),"","X")</f>
        <v/>
      </c>
      <c r="J53" s="95" t="str">
        <f>IF(((IFERROR(VLOOKUP($B53,'Critical Micelle Conc. (CMC)'!$P$9:$P$533,1,FALSE),"X"))="X"),"","X")</f>
        <v/>
      </c>
      <c r="K53" s="95" t="str">
        <f>IF(((IFERROR(VLOOKUP($B53,pKa!$J$8:$J$579,1,FALSE),"X"))="X"),"","X")</f>
        <v/>
      </c>
      <c r="L53" s="95" t="str">
        <f>IF(((IFERROR(VLOOKUP($B53,'Vapor Pressure (VP)'!$N$9:$N$603,1,FALSE),"X"))="X"),"","X")</f>
        <v>X</v>
      </c>
      <c r="M53" s="95" t="str">
        <f>IF(((IFERROR(VLOOKUP($B53,'Solubility (S)'!$P$9:$P$598,1,FALSE),"X"))="X"),"","X")</f>
        <v>X</v>
      </c>
      <c r="N53" s="95" t="str">
        <f>IF(((IFERROR(VLOOKUP($B53,'Henry''s Constant (KH)'!$O$9:$O$527,1,FALSE),"X"))="X"),"","X")</f>
        <v/>
      </c>
      <c r="O53" s="95" t="str">
        <f>IF(((IFERROR(VLOOKUP($B53,'Log Koc'!$H$8:$H$553,1,FALSE),"X"))="X"),"","X")</f>
        <v/>
      </c>
      <c r="P53" s="95" t="str">
        <f>IF(((IFERROR(VLOOKUP($B53,Biotransformation!$T$23:$T$396,1,FALSE),"X"))="X"),"","X")</f>
        <v/>
      </c>
    </row>
    <row r="54" spans="1:16" ht="48" x14ac:dyDescent="0.2">
      <c r="A54" s="274">
        <f t="shared" si="1"/>
        <v>48</v>
      </c>
      <c r="B54" s="33" t="s">
        <v>947</v>
      </c>
      <c r="C54" s="33" t="s">
        <v>1353</v>
      </c>
      <c r="D54" s="34" t="s">
        <v>1420</v>
      </c>
      <c r="E54" s="34"/>
      <c r="F54" s="53">
        <f t="shared" si="5"/>
        <v>48</v>
      </c>
      <c r="G54" s="95" t="str">
        <f>IF(((IFERROR(VLOOKUP($B54,'Main Table'!$I$10:$I$555,1,FALSE),"X"))="X"),"","X")</f>
        <v/>
      </c>
      <c r="H54" s="95" t="str">
        <f>IF(((IFERROR(VLOOKUP($B54,'Main Table'!$M$10:$M$555,1,FALSE),"X"))="X"),"","X")</f>
        <v/>
      </c>
      <c r="I54" s="95" t="str">
        <f>IF(((IFERROR(VLOOKUP($B54,'Main Table'!$Q$10:$Q$555,1,FALSE),"X"))="X"),"","X")</f>
        <v/>
      </c>
      <c r="J54" s="95" t="str">
        <f>IF(((IFERROR(VLOOKUP($B54,'Critical Micelle Conc. (CMC)'!$P$9:$P$533,1,FALSE),"X"))="X"),"","X")</f>
        <v/>
      </c>
      <c r="K54" s="95" t="str">
        <f>IF(((IFERROR(VLOOKUP($B54,pKa!$J$8:$J$579,1,FALSE),"X"))="X"),"","X")</f>
        <v>X</v>
      </c>
      <c r="L54" s="95" t="str">
        <f>IF(((IFERROR(VLOOKUP($B54,'Vapor Pressure (VP)'!$N$9:$N$603,1,FALSE),"X"))="X"),"","X")</f>
        <v/>
      </c>
      <c r="M54" s="95" t="str">
        <f>IF(((IFERROR(VLOOKUP($B54,'Solubility (S)'!$P$9:$P$598,1,FALSE),"X"))="X"),"","X")</f>
        <v/>
      </c>
      <c r="N54" s="95" t="str">
        <f>IF(((IFERROR(VLOOKUP($B54,'Henry''s Constant (KH)'!$O$9:$O$527,1,FALSE),"X"))="X"),"","X")</f>
        <v/>
      </c>
      <c r="O54" s="95" t="str">
        <f>IF(((IFERROR(VLOOKUP($B54,'Log Koc'!$H$8:$H$553,1,FALSE),"X"))="X"),"","X")</f>
        <v/>
      </c>
      <c r="P54" s="95" t="str">
        <f>IF(((IFERROR(VLOOKUP($B54,Biotransformation!$T$23:$T$396,1,FALSE),"X"))="X"),"","X")</f>
        <v/>
      </c>
    </row>
    <row r="55" spans="1:16" ht="64" x14ac:dyDescent="0.2">
      <c r="A55" s="274">
        <f t="shared" si="1"/>
        <v>49</v>
      </c>
      <c r="B55" s="32" t="s">
        <v>729</v>
      </c>
      <c r="C55" s="33" t="s">
        <v>1353</v>
      </c>
      <c r="D55" s="35" t="s">
        <v>1421</v>
      </c>
      <c r="E55" s="34" t="s">
        <v>1422</v>
      </c>
      <c r="F55" s="53">
        <f t="shared" si="5"/>
        <v>49</v>
      </c>
      <c r="G55" s="95" t="str">
        <f>IF(((IFERROR(VLOOKUP($B55,'Main Table'!$I$10:$I$555,1,FALSE),"X"))="X"),"","X")</f>
        <v/>
      </c>
      <c r="H55" s="95" t="str">
        <f>IF(((IFERROR(VLOOKUP($B55,'Main Table'!$M$10:$M$555,1,FALSE),"X"))="X"),"","X")</f>
        <v/>
      </c>
      <c r="I55" s="95" t="str">
        <f>IF(((IFERROR(VLOOKUP($B55,'Main Table'!$Q$10:$Q$555,1,FALSE),"X"))="X"),"","X")</f>
        <v/>
      </c>
      <c r="J55" s="95" t="str">
        <f>IF(((IFERROR(VLOOKUP($B55,'Critical Micelle Conc. (CMC)'!$P$9:$P$533,1,FALSE),"X"))="X"),"","X")</f>
        <v/>
      </c>
      <c r="K55" s="95" t="str">
        <f>IF(((IFERROR(VLOOKUP($B55,pKa!$J$8:$J$579,1,FALSE),"X"))="X"),"","X")</f>
        <v/>
      </c>
      <c r="L55" s="95" t="str">
        <f>IF(((IFERROR(VLOOKUP($B55,'Vapor Pressure (VP)'!$N$9:$N$603,1,FALSE),"X"))="X"),"","X")</f>
        <v/>
      </c>
      <c r="M55" s="95" t="str">
        <f>IF(((IFERROR(VLOOKUP($B55,'Solubility (S)'!$P$9:$P$598,1,FALSE),"X"))="X"),"","X")</f>
        <v/>
      </c>
      <c r="N55" s="95" t="str">
        <f>IF(((IFERROR(VLOOKUP($B55,'Henry''s Constant (KH)'!$O$9:$O$527,1,FALSE),"X"))="X"),"","X")</f>
        <v/>
      </c>
      <c r="O55" s="95" t="str">
        <f>IF(((IFERROR(VLOOKUP($B55,'Log Koc'!$H$8:$H$553,1,FALSE),"X"))="X"),"","X")</f>
        <v>X</v>
      </c>
      <c r="P55" s="95" t="str">
        <f>IF(((IFERROR(VLOOKUP($B55,Biotransformation!$T$23:$T$396,1,FALSE),"X"))="X"),"","X")</f>
        <v/>
      </c>
    </row>
    <row r="56" spans="1:16" ht="80" x14ac:dyDescent="0.2">
      <c r="A56" s="274">
        <f t="shared" si="1"/>
        <v>50</v>
      </c>
      <c r="B56" s="33" t="s">
        <v>429</v>
      </c>
      <c r="C56" s="33" t="s">
        <v>1353</v>
      </c>
      <c r="D56" s="34" t="s">
        <v>1423</v>
      </c>
      <c r="E56" s="34"/>
      <c r="F56" s="53">
        <f t="shared" si="5"/>
        <v>50</v>
      </c>
      <c r="G56" s="95" t="str">
        <f>IF(((IFERROR(VLOOKUP($B56,'Main Table'!$I$10:$I$555,1,FALSE),"X"))="X"),"","X")</f>
        <v>X</v>
      </c>
      <c r="H56" s="95" t="str">
        <f>IF(((IFERROR(VLOOKUP($B56,'Main Table'!$M$10:$M$555,1,FALSE),"X"))="X"),"","X")</f>
        <v>X</v>
      </c>
      <c r="I56" s="95" t="str">
        <f>IF(((IFERROR(VLOOKUP($B56,'Main Table'!$Q$10:$Q$555,1,FALSE),"X"))="X"),"","X")</f>
        <v>X</v>
      </c>
      <c r="J56" s="95" t="str">
        <f>IF(((IFERROR(VLOOKUP($B56,'Critical Micelle Conc. (CMC)'!$P$9:$P$533,1,FALSE),"X"))="X"),"","X")</f>
        <v/>
      </c>
      <c r="K56" s="95" t="str">
        <f>IF(((IFERROR(VLOOKUP($B56,pKa!$J$8:$J$579,1,FALSE),"X"))="X"),"","X")</f>
        <v>X</v>
      </c>
      <c r="L56" s="95" t="str">
        <f>IF(((IFERROR(VLOOKUP($B56,'Vapor Pressure (VP)'!$N$9:$N$603,1,FALSE),"X"))="X"),"","X")</f>
        <v/>
      </c>
      <c r="M56" s="95" t="str">
        <f>IF(((IFERROR(VLOOKUP($B56,'Solubility (S)'!$P$9:$P$598,1,FALSE),"X"))="X"),"","X")</f>
        <v/>
      </c>
      <c r="N56" s="95" t="str">
        <f>IF(((IFERROR(VLOOKUP($B56,'Henry''s Constant (KH)'!$O$9:$O$527,1,FALSE),"X"))="X"),"","X")</f>
        <v/>
      </c>
      <c r="O56" s="95" t="str">
        <f>IF(((IFERROR(VLOOKUP($B56,'Log Koc'!$H$8:$H$553,1,FALSE),"X"))="X"),"","X")</f>
        <v/>
      </c>
      <c r="P56" s="95" t="str">
        <f>IF(((IFERROR(VLOOKUP($B56,Biotransformation!$T$23:$T$396,1,FALSE),"X"))="X"),"","X")</f>
        <v/>
      </c>
    </row>
    <row r="57" spans="1:16" ht="64" x14ac:dyDescent="0.2">
      <c r="A57" s="274">
        <f t="shared" si="1"/>
        <v>51</v>
      </c>
      <c r="B57" s="33" t="s">
        <v>960</v>
      </c>
      <c r="C57" s="33" t="s">
        <v>1353</v>
      </c>
      <c r="D57" s="34" t="s">
        <v>1424</v>
      </c>
      <c r="E57" s="34"/>
      <c r="F57" s="53">
        <f t="shared" si="5"/>
        <v>51</v>
      </c>
      <c r="G57" s="95" t="str">
        <f>IF(((IFERROR(VLOOKUP($B57,'Main Table'!$I$10:$I$555,1,FALSE),"X"))="X"),"","X")</f>
        <v/>
      </c>
      <c r="H57" s="95" t="str">
        <f>IF(((IFERROR(VLOOKUP($B57,'Main Table'!$M$10:$M$555,1,FALSE),"X"))="X"),"","X")</f>
        <v/>
      </c>
      <c r="I57" s="95" t="str">
        <f>IF(((IFERROR(VLOOKUP($B57,'Main Table'!$Q$10:$Q$555,1,FALSE),"X"))="X"),"","X")</f>
        <v/>
      </c>
      <c r="J57" s="95" t="str">
        <f>IF(((IFERROR(VLOOKUP($B57,'Critical Micelle Conc. (CMC)'!$P$9:$P$533,1,FALSE),"X"))="X"),"","X")</f>
        <v/>
      </c>
      <c r="K57" s="95" t="str">
        <f>IF(((IFERROR(VLOOKUP($B57,pKa!$J$8:$J$579,1,FALSE),"X"))="X"),"","X")</f>
        <v>X</v>
      </c>
      <c r="L57" s="95" t="str">
        <f>IF(((IFERROR(VLOOKUP($B57,'Vapor Pressure (VP)'!$N$9:$N$603,1,FALSE),"X"))="X"),"","X")</f>
        <v/>
      </c>
      <c r="M57" s="95" t="str">
        <f>IF(((IFERROR(VLOOKUP($B57,'Solubility (S)'!$P$9:$P$598,1,FALSE),"X"))="X"),"","X")</f>
        <v/>
      </c>
      <c r="N57" s="95" t="str">
        <f>IF(((IFERROR(VLOOKUP($B57,'Henry''s Constant (KH)'!$O$9:$O$527,1,FALSE),"X"))="X"),"","X")</f>
        <v/>
      </c>
      <c r="O57" s="95" t="str">
        <f>IF(((IFERROR(VLOOKUP($B57,'Log Koc'!$H$8:$H$553,1,FALSE),"X"))="X"),"","X")</f>
        <v/>
      </c>
      <c r="P57" s="95" t="str">
        <f>IF(((IFERROR(VLOOKUP($B57,Biotransformation!$T$23:$T$396,1,FALSE),"X"))="X"),"","X")</f>
        <v/>
      </c>
    </row>
    <row r="58" spans="1:16" ht="80" x14ac:dyDescent="0.2">
      <c r="A58" s="274">
        <f t="shared" si="1"/>
        <v>52</v>
      </c>
      <c r="B58" s="33" t="s">
        <v>529</v>
      </c>
      <c r="C58" s="33" t="s">
        <v>1353</v>
      </c>
      <c r="D58" s="34" t="s">
        <v>1425</v>
      </c>
      <c r="E58" s="34"/>
      <c r="F58" s="53">
        <f t="shared" si="5"/>
        <v>52</v>
      </c>
      <c r="G58" s="95" t="str">
        <f>IF(((IFERROR(VLOOKUP($B58,'Main Table'!$I$10:$I$555,1,FALSE),"X"))="X"),"","X")</f>
        <v/>
      </c>
      <c r="H58" s="95" t="str">
        <f>IF(((IFERROR(VLOOKUP($B58,'Main Table'!$M$10:$M$555,1,FALSE),"X"))="X"),"","X")</f>
        <v/>
      </c>
      <c r="I58" s="95" t="str">
        <f>IF(((IFERROR(VLOOKUP($B58,'Main Table'!$Q$10:$Q$555,1,FALSE),"X"))="X"),"","X")</f>
        <v/>
      </c>
      <c r="J58" s="95" t="str">
        <f>IF(((IFERROR(VLOOKUP($B58,'Critical Micelle Conc. (CMC)'!$P$9:$P$533,1,FALSE),"X"))="X"),"","X")</f>
        <v/>
      </c>
      <c r="K58" s="95" t="str">
        <f>IF(((IFERROR(VLOOKUP($B58,pKa!$J$8:$J$579,1,FALSE),"X"))="X"),"","X")</f>
        <v/>
      </c>
      <c r="L58" s="95" t="str">
        <f>IF(((IFERROR(VLOOKUP($B58,'Vapor Pressure (VP)'!$N$9:$N$603,1,FALSE),"X"))="X"),"","X")</f>
        <v/>
      </c>
      <c r="M58" s="95" t="str">
        <f>IF(((IFERROR(VLOOKUP($B58,'Solubility (S)'!$P$9:$P$598,1,FALSE),"X"))="X"),"","X")</f>
        <v>X</v>
      </c>
      <c r="N58" s="95" t="str">
        <f>IF(((IFERROR(VLOOKUP($B58,'Henry''s Constant (KH)'!$O$9:$O$527,1,FALSE),"X"))="X"),"","X")</f>
        <v/>
      </c>
      <c r="O58" s="95" t="str">
        <f>IF(((IFERROR(VLOOKUP($B58,'Log Koc'!$H$8:$H$553,1,FALSE),"X"))="X"),"","X")</f>
        <v/>
      </c>
      <c r="P58" s="95" t="str">
        <f>IF(((IFERROR(VLOOKUP($B58,Biotransformation!$T$23:$T$396,1,FALSE),"X"))="X"),"","X")</f>
        <v/>
      </c>
    </row>
    <row r="59" spans="1:16" ht="64" x14ac:dyDescent="0.2">
      <c r="A59" s="274">
        <f t="shared" si="1"/>
        <v>53</v>
      </c>
      <c r="B59" s="575" t="s">
        <v>569</v>
      </c>
      <c r="C59" s="33" t="s">
        <v>1353</v>
      </c>
      <c r="D59" s="576" t="s">
        <v>1426</v>
      </c>
      <c r="E59" s="577" t="s">
        <v>1427</v>
      </c>
      <c r="F59" s="53">
        <f t="shared" si="5"/>
        <v>53</v>
      </c>
      <c r="G59" s="95" t="str">
        <f>IF(((IFERROR(VLOOKUP($B59,'Main Table'!$I$10:$I$555,1,FALSE),"X"))="X"),"","X")</f>
        <v/>
      </c>
      <c r="H59" s="95" t="str">
        <f>IF(((IFERROR(VLOOKUP($B59,'Main Table'!$M$10:$M$555,1,FALSE),"X"))="X"),"","X")</f>
        <v/>
      </c>
      <c r="I59" s="95" t="str">
        <f>IF(((IFERROR(VLOOKUP($B59,'Main Table'!$Q$10:$Q$555,1,FALSE),"X"))="X"),"","X")</f>
        <v/>
      </c>
      <c r="J59" s="95" t="str">
        <f>IF(((IFERROR(VLOOKUP($B59,'Critical Micelle Conc. (CMC)'!$P$9:$P$533,1,FALSE),"X"))="X"),"","X")</f>
        <v/>
      </c>
      <c r="K59" s="95" t="str">
        <f>IF(((IFERROR(VLOOKUP($B59,pKa!$J$8:$J$579,1,FALSE),"X"))="X"),"","X")</f>
        <v/>
      </c>
      <c r="L59" s="95" t="str">
        <f>IF(((IFERROR(VLOOKUP($B59,'Vapor Pressure (VP)'!$N$9:$N$603,1,FALSE),"X"))="X"),"","X")</f>
        <v>X</v>
      </c>
      <c r="M59" s="95" t="str">
        <f>IF(((IFERROR(VLOOKUP($B59,'Solubility (S)'!$P$9:$P$598,1,FALSE),"X"))="X"),"","X")</f>
        <v/>
      </c>
      <c r="N59" s="95" t="str">
        <f>IF(((IFERROR(VLOOKUP($B59,'Henry''s Constant (KH)'!$O$9:$O$527,1,FALSE),"X"))="X"),"","X")</f>
        <v/>
      </c>
      <c r="O59" s="95" t="str">
        <f>IF(((IFERROR(VLOOKUP($B59,'Log Koc'!$H$8:$H$553,1,FALSE),"X"))="X"),"","X")</f>
        <v/>
      </c>
      <c r="P59" s="95" t="str">
        <f>IF(((IFERROR(VLOOKUP($B59,Biotransformation!$T$23:$T$396,1,FALSE),"X"))="X"),"","X")</f>
        <v/>
      </c>
    </row>
    <row r="60" spans="1:16" ht="64" x14ac:dyDescent="0.2">
      <c r="A60" s="274">
        <f t="shared" si="1"/>
        <v>54</v>
      </c>
      <c r="B60" s="32" t="s">
        <v>859</v>
      </c>
      <c r="C60" s="33" t="s">
        <v>1353</v>
      </c>
      <c r="D60" s="35" t="s">
        <v>1428</v>
      </c>
      <c r="E60" s="34" t="s">
        <v>1429</v>
      </c>
      <c r="F60" s="53">
        <f t="shared" si="5"/>
        <v>54</v>
      </c>
      <c r="G60" s="95" t="str">
        <f>IF(((IFERROR(VLOOKUP($B60,'Main Table'!$I$10:$I$555,1,FALSE),"X"))="X"),"","X")</f>
        <v/>
      </c>
      <c r="H60" s="95" t="str">
        <f>IF(((IFERROR(VLOOKUP($B60,'Main Table'!$M$10:$M$555,1,FALSE),"X"))="X"),"","X")</f>
        <v/>
      </c>
      <c r="I60" s="95" t="str">
        <f>IF(((IFERROR(VLOOKUP($B60,'Main Table'!$Q$10:$Q$555,1,FALSE),"X"))="X"),"","X")</f>
        <v/>
      </c>
      <c r="J60" s="95" t="str">
        <f>IF(((IFERROR(VLOOKUP($B60,'Critical Micelle Conc. (CMC)'!$P$9:$P$533,1,FALSE),"X"))="X"),"","X")</f>
        <v/>
      </c>
      <c r="K60" s="95" t="str">
        <f>IF(((IFERROR(VLOOKUP($B60,pKa!$J$8:$J$579,1,FALSE),"X"))="X"),"","X")</f>
        <v/>
      </c>
      <c r="L60" s="95" t="str">
        <f>IF(((IFERROR(VLOOKUP($B60,'Vapor Pressure (VP)'!$N$9:$N$603,1,FALSE),"X"))="X"),"","X")</f>
        <v/>
      </c>
      <c r="M60" s="95" t="str">
        <f>IF(((IFERROR(VLOOKUP($B60,'Solubility (S)'!$P$9:$P$598,1,FALSE),"X"))="X"),"","X")</f>
        <v/>
      </c>
      <c r="N60" s="95" t="str">
        <f>IF(((IFERROR(VLOOKUP($B60,'Henry''s Constant (KH)'!$O$9:$O$527,1,FALSE),"X"))="X"),"","X")</f>
        <v/>
      </c>
      <c r="O60" s="95" t="str">
        <f>IF(((IFERROR(VLOOKUP($B60,'Log Koc'!$H$8:$H$553,1,FALSE),"X"))="X"),"","X")</f>
        <v>X</v>
      </c>
      <c r="P60" s="95" t="str">
        <f>IF(((IFERROR(VLOOKUP($B60,Biotransformation!$T$23:$T$396,1,FALSE),"X"))="X"),"","X")</f>
        <v/>
      </c>
    </row>
    <row r="61" spans="1:16" ht="96" x14ac:dyDescent="0.2">
      <c r="A61" s="274">
        <f t="shared" si="1"/>
        <v>55</v>
      </c>
      <c r="B61" s="32" t="s">
        <v>1170</v>
      </c>
      <c r="C61" s="33" t="s">
        <v>1353</v>
      </c>
      <c r="D61" s="35" t="s">
        <v>1430</v>
      </c>
      <c r="E61" s="34"/>
      <c r="F61" s="53">
        <f t="shared" si="5"/>
        <v>55</v>
      </c>
      <c r="G61" s="95" t="str">
        <f>IF(((IFERROR(VLOOKUP($B61,'Main Table'!$I$10:$I$555,1,FALSE),"X"))="X"),"","X")</f>
        <v/>
      </c>
      <c r="H61" s="95" t="str">
        <f>IF(((IFERROR(VLOOKUP($B61,'Main Table'!$M$10:$M$555,1,FALSE),"X"))="X"),"","X")</f>
        <v/>
      </c>
      <c r="I61" s="95" t="str">
        <f>IF(((IFERROR(VLOOKUP($B61,'Main Table'!$Q$10:$Q$555,1,FALSE),"X"))="X"),"","X")</f>
        <v/>
      </c>
      <c r="J61" s="95" t="str">
        <f>IF(((IFERROR(VLOOKUP($B61,'Critical Micelle Conc. (CMC)'!$P$9:$P$533,1,FALSE),"X"))="X"),"","X")</f>
        <v/>
      </c>
      <c r="K61" s="95" t="str">
        <f>IF(((IFERROR(VLOOKUP($B61,pKa!$J$8:$J$579,1,FALSE),"X"))="X"),"","X")</f>
        <v/>
      </c>
      <c r="L61" s="95" t="str">
        <f>IF(((IFERROR(VLOOKUP($B61,'Vapor Pressure (VP)'!$N$9:$N$603,1,FALSE),"X"))="X"),"","X")</f>
        <v/>
      </c>
      <c r="M61" s="95" t="str">
        <f>IF(((IFERROR(VLOOKUP($B61,'Solubility (S)'!$P$9:$P$598,1,FALSE),"X"))="X"),"","X")</f>
        <v/>
      </c>
      <c r="N61" s="95" t="str">
        <f>IF(((IFERROR(VLOOKUP($B61,'Henry''s Constant (KH)'!$O$9:$O$527,1,FALSE),"X"))="X"),"","X")</f>
        <v/>
      </c>
      <c r="O61" s="95" t="str">
        <f>IF(((IFERROR(VLOOKUP($B61,'Log Koc'!$H$8:$H$553,1,FALSE),"X"))="X"),"","X")</f>
        <v/>
      </c>
      <c r="P61" s="95" t="str">
        <f>IF(((IFERROR(VLOOKUP($B61,Biotransformation!$T$23:$T$396,1,FALSE),"X"))="X"),"","X")</f>
        <v>X</v>
      </c>
    </row>
    <row r="62" spans="1:16" ht="64" x14ac:dyDescent="0.2">
      <c r="A62" s="274">
        <f t="shared" si="1"/>
        <v>56</v>
      </c>
      <c r="B62" s="33" t="s">
        <v>400</v>
      </c>
      <c r="C62" s="33" t="s">
        <v>1353</v>
      </c>
      <c r="D62" s="36" t="s">
        <v>1431</v>
      </c>
      <c r="E62" s="34"/>
      <c r="F62" s="53">
        <f t="shared" si="5"/>
        <v>56</v>
      </c>
      <c r="G62" s="95" t="str">
        <f>IF(((IFERROR(VLOOKUP($B62,'Main Table'!$I$10:$I$555,1,FALSE),"X"))="X"),"","X")</f>
        <v/>
      </c>
      <c r="H62" s="95" t="str">
        <f>IF(((IFERROR(VLOOKUP($B62,'Main Table'!$M$10:$M$555,1,FALSE),"X"))="X"),"","X")</f>
        <v/>
      </c>
      <c r="I62" s="95" t="str">
        <f>IF(((IFERROR(VLOOKUP($B62,'Main Table'!$Q$10:$Q$555,1,FALSE),"X"))="X"),"","X")</f>
        <v>X</v>
      </c>
      <c r="J62" s="95" t="str">
        <f>IF(((IFERROR(VLOOKUP($B62,'Critical Micelle Conc. (CMC)'!$P$9:$P$533,1,FALSE),"X"))="X"),"","X")</f>
        <v/>
      </c>
      <c r="K62" s="95" t="str">
        <f>IF(((IFERROR(VLOOKUP($B62,pKa!$J$8:$J$579,1,FALSE),"X"))="X"),"","X")</f>
        <v/>
      </c>
      <c r="L62" s="95" t="str">
        <f>IF(((IFERROR(VLOOKUP($B62,'Vapor Pressure (VP)'!$N$9:$N$603,1,FALSE),"X"))="X"),"","X")</f>
        <v>X</v>
      </c>
      <c r="M62" s="95" t="str">
        <f>IF(((IFERROR(VLOOKUP($B62,'Solubility (S)'!$P$9:$P$598,1,FALSE),"X"))="X"),"","X")</f>
        <v>X</v>
      </c>
      <c r="N62" s="95" t="str">
        <f>IF(((IFERROR(VLOOKUP($B62,'Henry''s Constant (KH)'!$O$9:$O$527,1,FALSE),"X"))="X"),"","X")</f>
        <v/>
      </c>
      <c r="O62" s="95" t="str">
        <f>IF(((IFERROR(VLOOKUP($B62,'Log Koc'!$H$8:$H$553,1,FALSE),"X"))="X"),"","X")</f>
        <v/>
      </c>
      <c r="P62" s="95" t="str">
        <f>IF(((IFERROR(VLOOKUP($B62,Biotransformation!$T$23:$T$396,1,FALSE),"X"))="X"),"","X")</f>
        <v/>
      </c>
    </row>
    <row r="63" spans="1:16" ht="48" x14ac:dyDescent="0.2">
      <c r="A63" s="274">
        <f t="shared" si="1"/>
        <v>57</v>
      </c>
      <c r="B63" s="575" t="s">
        <v>573</v>
      </c>
      <c r="C63" s="33" t="s">
        <v>1353</v>
      </c>
      <c r="D63" s="576" t="s">
        <v>1432</v>
      </c>
      <c r="E63" s="576"/>
      <c r="F63" s="53">
        <f t="shared" si="5"/>
        <v>57</v>
      </c>
      <c r="G63" s="95" t="str">
        <f>IF(((IFERROR(VLOOKUP($B63,'Main Table'!$I$10:$I$555,1,FALSE),"X"))="X"),"","X")</f>
        <v/>
      </c>
      <c r="H63" s="95" t="str">
        <f>IF(((IFERROR(VLOOKUP($B63,'Main Table'!$M$10:$M$555,1,FALSE),"X"))="X"),"","X")</f>
        <v/>
      </c>
      <c r="I63" s="95" t="str">
        <f>IF(((IFERROR(VLOOKUP($B63,'Main Table'!$Q$10:$Q$555,1,FALSE),"X"))="X"),"","X")</f>
        <v/>
      </c>
      <c r="J63" s="95" t="str">
        <f>IF(((IFERROR(VLOOKUP($B63,'Critical Micelle Conc. (CMC)'!$P$9:$P$533,1,FALSE),"X"))="X"),"","X")</f>
        <v/>
      </c>
      <c r="K63" s="95" t="str">
        <f>IF(((IFERROR(VLOOKUP($B63,pKa!$J$8:$J$579,1,FALSE),"X"))="X"),"","X")</f>
        <v/>
      </c>
      <c r="L63" s="95" t="str">
        <f>IF(((IFERROR(VLOOKUP($B63,'Vapor Pressure (VP)'!$N$9:$N$603,1,FALSE),"X"))="X"),"","X")</f>
        <v>X</v>
      </c>
      <c r="M63" s="95" t="str">
        <f>IF(((IFERROR(VLOOKUP($B63,'Solubility (S)'!$P$9:$P$598,1,FALSE),"X"))="X"),"","X")</f>
        <v/>
      </c>
      <c r="N63" s="95" t="str">
        <f>IF(((IFERROR(VLOOKUP($B63,'Henry''s Constant (KH)'!$O$9:$O$527,1,FALSE),"X"))="X"),"","X")</f>
        <v/>
      </c>
      <c r="O63" s="95" t="str">
        <f>IF(((IFERROR(VLOOKUP($B63,'Log Koc'!$H$8:$H$553,1,FALSE),"X"))="X"),"","X")</f>
        <v/>
      </c>
      <c r="P63" s="95" t="str">
        <f>IF(((IFERROR(VLOOKUP($B63,Biotransformation!$T$23:$T$396,1,FALSE),"X"))="X"),"","X")</f>
        <v/>
      </c>
    </row>
    <row r="64" spans="1:16" ht="64" x14ac:dyDescent="0.2">
      <c r="A64" s="274">
        <f t="shared" si="1"/>
        <v>58</v>
      </c>
      <c r="B64" s="33" t="s">
        <v>526</v>
      </c>
      <c r="C64" s="33" t="s">
        <v>1353</v>
      </c>
      <c r="D64" s="34" t="s">
        <v>1433</v>
      </c>
      <c r="E64" s="34"/>
      <c r="F64" s="53">
        <f t="shared" si="5"/>
        <v>58</v>
      </c>
      <c r="G64" s="95" t="str">
        <f>IF(((IFERROR(VLOOKUP($B64,'Main Table'!$I$10:$I$555,1,FALSE),"X"))="X"),"","X")</f>
        <v/>
      </c>
      <c r="H64" s="95" t="str">
        <f>IF(((IFERROR(VLOOKUP($B64,'Main Table'!$M$10:$M$555,1,FALSE),"X"))="X"),"","X")</f>
        <v/>
      </c>
      <c r="I64" s="95" t="str">
        <f>IF(((IFERROR(VLOOKUP($B64,'Main Table'!$Q$10:$Q$555,1,FALSE),"X"))="X"),"","X")</f>
        <v/>
      </c>
      <c r="J64" s="95" t="str">
        <f>IF(((IFERROR(VLOOKUP($B64,'Critical Micelle Conc. (CMC)'!$P$9:$P$533,1,FALSE),"X"))="X"),"","X")</f>
        <v/>
      </c>
      <c r="K64" s="95" t="str">
        <f>IF(((IFERROR(VLOOKUP($B64,pKa!$J$8:$J$579,1,FALSE),"X"))="X"),"","X")</f>
        <v/>
      </c>
      <c r="L64" s="95" t="str">
        <f>IF(((IFERROR(VLOOKUP($B64,'Vapor Pressure (VP)'!$N$9:$N$603,1,FALSE),"X"))="X"),"","X")</f>
        <v/>
      </c>
      <c r="M64" s="95" t="str">
        <f>IF(((IFERROR(VLOOKUP($B64,'Solubility (S)'!$P$9:$P$598,1,FALSE),"X"))="X"),"","X")</f>
        <v>X</v>
      </c>
      <c r="N64" s="95" t="str">
        <f>IF(((IFERROR(VLOOKUP($B64,'Henry''s Constant (KH)'!$O$9:$O$527,1,FALSE),"X"))="X"),"","X")</f>
        <v/>
      </c>
      <c r="O64" s="95" t="str">
        <f>IF(((IFERROR(VLOOKUP($B64,'Log Koc'!$H$8:$H$553,1,FALSE),"X"))="X"),"","X")</f>
        <v/>
      </c>
      <c r="P64" s="95" t="str">
        <f>IF(((IFERROR(VLOOKUP($B64,Biotransformation!$T$23:$T$396,1,FALSE),"X"))="X"),"","X")</f>
        <v/>
      </c>
    </row>
    <row r="65" spans="1:17" ht="80" x14ac:dyDescent="0.2">
      <c r="A65" s="274">
        <f t="shared" si="1"/>
        <v>59</v>
      </c>
      <c r="B65" s="575" t="s">
        <v>646</v>
      </c>
      <c r="C65" s="33" t="s">
        <v>1353</v>
      </c>
      <c r="D65" s="577" t="s">
        <v>1434</v>
      </c>
      <c r="E65" s="576" t="s">
        <v>1435</v>
      </c>
      <c r="F65" s="53">
        <f t="shared" si="5"/>
        <v>59</v>
      </c>
      <c r="G65" s="95" t="str">
        <f>IF(((IFERROR(VLOOKUP($B65,'Main Table'!$I$10:$I$555,1,FALSE),"X"))="X"),"","X")</f>
        <v/>
      </c>
      <c r="H65" s="95" t="str">
        <f>IF(((IFERROR(VLOOKUP($B65,'Main Table'!$M$10:$M$555,1,FALSE),"X"))="X"),"","X")</f>
        <v/>
      </c>
      <c r="I65" s="95" t="str">
        <f>IF(((IFERROR(VLOOKUP($B65,'Main Table'!$Q$10:$Q$555,1,FALSE),"X"))="X"),"","X")</f>
        <v/>
      </c>
      <c r="J65" s="95" t="str">
        <f>IF(((IFERROR(VLOOKUP($B65,'Critical Micelle Conc. (CMC)'!$P$9:$P$533,1,FALSE),"X"))="X"),"","X")</f>
        <v>X</v>
      </c>
      <c r="K65" s="95" t="str">
        <f>IF(((IFERROR(VLOOKUP($B65,pKa!$J$8:$J$579,1,FALSE),"X"))="X"),"","X")</f>
        <v/>
      </c>
      <c r="L65" s="95" t="str">
        <f>IF(((IFERROR(VLOOKUP($B65,'Vapor Pressure (VP)'!$N$9:$N$603,1,FALSE),"X"))="X"),"","X")</f>
        <v/>
      </c>
      <c r="M65" s="95" t="str">
        <f>IF(((IFERROR(VLOOKUP($B65,'Solubility (S)'!$P$9:$P$598,1,FALSE),"X"))="X"),"","X")</f>
        <v/>
      </c>
      <c r="N65" s="95" t="str">
        <f>IF(((IFERROR(VLOOKUP($B65,'Henry''s Constant (KH)'!$O$9:$O$527,1,FALSE),"X"))="X"),"","X")</f>
        <v/>
      </c>
      <c r="O65" s="95" t="str">
        <f>IF(((IFERROR(VLOOKUP($B65,'Log Koc'!$H$8:$H$553,1,FALSE),"X"))="X"),"","X")</f>
        <v/>
      </c>
      <c r="P65" s="95" t="str">
        <f>IF(((IFERROR(VLOOKUP($B65,Biotransformation!$T$23:$T$396,1,FALSE),"X"))="X"),"","X")</f>
        <v/>
      </c>
      <c r="Q65" s="532"/>
    </row>
    <row r="66" spans="1:17" ht="48" x14ac:dyDescent="0.2">
      <c r="A66" s="274">
        <f t="shared" si="1"/>
        <v>60</v>
      </c>
      <c r="B66" s="33" t="s">
        <v>28</v>
      </c>
      <c r="C66" s="33" t="s">
        <v>1353</v>
      </c>
      <c r="D66" s="34" t="s">
        <v>1436</v>
      </c>
      <c r="E66" s="34"/>
      <c r="F66" s="53">
        <f t="shared" si="5"/>
        <v>60</v>
      </c>
      <c r="G66" s="95" t="str">
        <f>IF(((IFERROR(VLOOKUP($B66,'Main Table'!$I$10:$I$555,1,FALSE),"X"))="X"),"","X")</f>
        <v>X</v>
      </c>
      <c r="H66" s="95" t="str">
        <f>IF(((IFERROR(VLOOKUP($B66,'Main Table'!$M$10:$M$555,1,FALSE),"X"))="X"),"","X")</f>
        <v/>
      </c>
      <c r="I66" s="95" t="str">
        <f>IF(((IFERROR(VLOOKUP($B66,'Main Table'!$Q$10:$Q$555,1,FALSE),"X"))="X"),"","X")</f>
        <v>X</v>
      </c>
      <c r="J66" s="95" t="str">
        <f>IF(((IFERROR(VLOOKUP($B66,'Critical Micelle Conc. (CMC)'!$P$9:$P$533,1,FALSE),"X"))="X"),"","X")</f>
        <v/>
      </c>
      <c r="K66" s="95" t="str">
        <f>IF(((IFERROR(VLOOKUP($B66,pKa!$J$8:$J$579,1,FALSE),"X"))="X"),"","X")</f>
        <v/>
      </c>
      <c r="L66" s="95" t="str">
        <f>IF(((IFERROR(VLOOKUP($B66,'Vapor Pressure (VP)'!$N$9:$N$603,1,FALSE),"X"))="X"),"","X")</f>
        <v>X</v>
      </c>
      <c r="M66" s="95" t="str">
        <f>IF(((IFERROR(VLOOKUP($B66,'Solubility (S)'!$P$9:$P$598,1,FALSE),"X"))="X"),"","X")</f>
        <v>X</v>
      </c>
      <c r="N66" s="95" t="str">
        <f>IF(((IFERROR(VLOOKUP($B66,'Henry''s Constant (KH)'!$O$9:$O$527,1,FALSE),"X"))="X"),"","X")</f>
        <v/>
      </c>
      <c r="O66" s="95" t="str">
        <f>IF(((IFERROR(VLOOKUP($B66,'Log Koc'!$H$8:$H$553,1,FALSE),"X"))="X"),"","X")</f>
        <v/>
      </c>
      <c r="P66" s="95" t="str">
        <f>IF(((IFERROR(VLOOKUP($B66,Biotransformation!$T$23:$T$396,1,FALSE),"X"))="X"),"","X")</f>
        <v/>
      </c>
    </row>
    <row r="67" spans="1:17" ht="64" x14ac:dyDescent="0.2">
      <c r="A67" s="274">
        <f t="shared" si="1"/>
        <v>61</v>
      </c>
      <c r="B67" s="578" t="s">
        <v>525</v>
      </c>
      <c r="C67" s="33" t="s">
        <v>1353</v>
      </c>
      <c r="D67" s="45" t="s">
        <v>1437</v>
      </c>
      <c r="E67" s="34"/>
      <c r="F67" s="53">
        <f t="shared" si="5"/>
        <v>61</v>
      </c>
      <c r="G67" s="95" t="str">
        <f>IF(((IFERROR(VLOOKUP($B67,'Main Table'!$I$10:$I$555,1,FALSE),"X"))="X"),"","X")</f>
        <v/>
      </c>
      <c r="H67" s="95" t="str">
        <f>IF(((IFERROR(VLOOKUP($B67,'Main Table'!$M$10:$M$555,1,FALSE),"X"))="X"),"","X")</f>
        <v/>
      </c>
      <c r="I67" s="95" t="str">
        <f>IF(((IFERROR(VLOOKUP($B67,'Main Table'!$Q$10:$Q$555,1,FALSE),"X"))="X"),"","X")</f>
        <v/>
      </c>
      <c r="J67" s="95" t="str">
        <f>IF(((IFERROR(VLOOKUP($B67,'Critical Micelle Conc. (CMC)'!$P$9:$P$533,1,FALSE),"X"))="X"),"","X")</f>
        <v/>
      </c>
      <c r="K67" s="95" t="str">
        <f>IF(((IFERROR(VLOOKUP($B67,pKa!$J$8:$J$579,1,FALSE),"X"))="X"),"","X")</f>
        <v/>
      </c>
      <c r="L67" s="95" t="str">
        <f>IF(((IFERROR(VLOOKUP($B67,'Vapor Pressure (VP)'!$N$9:$N$603,1,FALSE),"X"))="X"),"","X")</f>
        <v>X</v>
      </c>
      <c r="M67" s="95" t="str">
        <f>IF(((IFERROR(VLOOKUP($B67,'Solubility (S)'!$P$9:$P$598,1,FALSE),"X"))="X"),"","X")</f>
        <v>X</v>
      </c>
      <c r="N67" s="95" t="str">
        <f>IF(((IFERROR(VLOOKUP($B67,'Henry''s Constant (KH)'!$O$9:$O$527,1,FALSE),"X"))="X"),"","X")</f>
        <v>X</v>
      </c>
      <c r="O67" s="95" t="str">
        <f>IF(((IFERROR(VLOOKUP($B67,'Log Koc'!$H$8:$H$553,1,FALSE),"X"))="X"),"","X")</f>
        <v/>
      </c>
      <c r="P67" s="95" t="str">
        <f>IF(((IFERROR(VLOOKUP($B67,Biotransformation!$T$23:$T$396,1,FALSE),"X"))="X"),"","X")</f>
        <v/>
      </c>
    </row>
    <row r="68" spans="1:17" ht="64" x14ac:dyDescent="0.2">
      <c r="A68" s="274">
        <f t="shared" si="1"/>
        <v>62</v>
      </c>
      <c r="B68" s="32" t="s">
        <v>955</v>
      </c>
      <c r="C68" s="33" t="s">
        <v>1353</v>
      </c>
      <c r="D68" s="35" t="s">
        <v>1438</v>
      </c>
      <c r="E68" s="34"/>
      <c r="F68" s="53">
        <f t="shared" si="5"/>
        <v>62</v>
      </c>
      <c r="G68" s="95" t="str">
        <f>IF(((IFERROR(VLOOKUP($B68,'Main Table'!$I$10:$I$555,1,FALSE),"X"))="X"),"","X")</f>
        <v/>
      </c>
      <c r="H68" s="95" t="str">
        <f>IF(((IFERROR(VLOOKUP($B68,'Main Table'!$M$10:$M$555,1,FALSE),"X"))="X"),"","X")</f>
        <v/>
      </c>
      <c r="I68" s="95" t="str">
        <f>IF(((IFERROR(VLOOKUP($B68,'Main Table'!$Q$10:$Q$555,1,FALSE),"X"))="X"),"","X")</f>
        <v/>
      </c>
      <c r="J68" s="95" t="str">
        <f>IF(((IFERROR(VLOOKUP($B68,'Critical Micelle Conc. (CMC)'!$P$9:$P$533,1,FALSE),"X"))="X"),"","X")</f>
        <v/>
      </c>
      <c r="K68" s="95" t="str">
        <f>IF(((IFERROR(VLOOKUP($B68,pKa!$J$8:$J$579,1,FALSE),"X"))="X"),"","X")</f>
        <v>X</v>
      </c>
      <c r="L68" s="95" t="str">
        <f>IF(((IFERROR(VLOOKUP($B68,'Vapor Pressure (VP)'!$N$9:$N$603,1,FALSE),"X"))="X"),"","X")</f>
        <v/>
      </c>
      <c r="M68" s="95" t="str">
        <f>IF(((IFERROR(VLOOKUP($B68,'Solubility (S)'!$P$9:$P$598,1,FALSE),"X"))="X"),"","X")</f>
        <v/>
      </c>
      <c r="N68" s="95" t="str">
        <f>IF(((IFERROR(VLOOKUP($B68,'Henry''s Constant (KH)'!$O$9:$O$527,1,FALSE),"X"))="X"),"","X")</f>
        <v/>
      </c>
      <c r="O68" s="95" t="str">
        <f>IF(((IFERROR(VLOOKUP($B68,'Log Koc'!$H$8:$H$553,1,FALSE),"X"))="X"),"","X")</f>
        <v/>
      </c>
      <c r="P68" s="95" t="str">
        <f>IF(((IFERROR(VLOOKUP($B68,Biotransformation!$T$23:$T$396,1,FALSE),"X"))="X"),"","X")</f>
        <v/>
      </c>
    </row>
    <row r="69" spans="1:17" s="473" customFormat="1" ht="64" x14ac:dyDescent="0.2">
      <c r="A69" s="274">
        <f t="shared" si="1"/>
        <v>63</v>
      </c>
      <c r="B69" s="534" t="s">
        <v>530</v>
      </c>
      <c r="C69" s="33" t="s">
        <v>1353</v>
      </c>
      <c r="D69" s="579" t="s">
        <v>1439</v>
      </c>
      <c r="E69" s="578"/>
      <c r="F69" s="53">
        <f t="shared" si="5"/>
        <v>63</v>
      </c>
      <c r="G69" s="95" t="str">
        <f>IF(((IFERROR(VLOOKUP($B69,'Main Table'!$I$10:$I$555,1,FALSE),"X"))="X"),"","X")</f>
        <v/>
      </c>
      <c r="H69" s="95" t="str">
        <f>IF(((IFERROR(VLOOKUP($B69,'Main Table'!$M$10:$M$555,1,FALSE),"X"))="X"),"","X")</f>
        <v/>
      </c>
      <c r="I69" s="95" t="str">
        <f>IF(((IFERROR(VLOOKUP($B69,'Main Table'!$Q$10:$Q$555,1,FALSE),"X"))="X"),"","X")</f>
        <v/>
      </c>
      <c r="J69" s="95" t="str">
        <f>IF(((IFERROR(VLOOKUP($B69,'Critical Micelle Conc. (CMC)'!$P$9:$P$533,1,FALSE),"X"))="X"),"","X")</f>
        <v/>
      </c>
      <c r="K69" s="95" t="str">
        <f>IF(((IFERROR(VLOOKUP($B69,pKa!$J$8:$J$579,1,FALSE),"X"))="X"),"","X")</f>
        <v/>
      </c>
      <c r="L69" s="95" t="str">
        <f>IF(((IFERROR(VLOOKUP($B69,'Vapor Pressure (VP)'!$N$9:$N$603,1,FALSE),"X"))="X"),"","X")</f>
        <v/>
      </c>
      <c r="M69" s="95" t="str">
        <f>IF(((IFERROR(VLOOKUP($B69,'Solubility (S)'!$P$9:$P$598,1,FALSE),"X"))="X"),"","X")</f>
        <v>X</v>
      </c>
      <c r="N69" s="95" t="str">
        <f>IF(((IFERROR(VLOOKUP($B69,'Henry''s Constant (KH)'!$O$9:$O$527,1,FALSE),"X"))="X"),"","X")</f>
        <v/>
      </c>
      <c r="O69" s="95" t="str">
        <f>IF(((IFERROR(VLOOKUP($B69,'Log Koc'!$H$8:$H$553,1,FALSE),"X"))="X"),"","X")</f>
        <v/>
      </c>
      <c r="P69" s="95" t="str">
        <f>IF(((IFERROR(VLOOKUP($B69,Biotransformation!$T$23:$T$396,1,FALSE),"X"))="X"),"","X")</f>
        <v/>
      </c>
      <c r="Q69" s="534"/>
    </row>
    <row r="70" spans="1:17" ht="80" x14ac:dyDescent="0.2">
      <c r="A70" s="274">
        <f t="shared" si="1"/>
        <v>64</v>
      </c>
      <c r="B70" s="33" t="s">
        <v>382</v>
      </c>
      <c r="C70" s="33" t="s">
        <v>1353</v>
      </c>
      <c r="D70" s="34" t="s">
        <v>1440</v>
      </c>
      <c r="E70" s="534" t="s">
        <v>530</v>
      </c>
      <c r="F70" s="53">
        <f t="shared" si="5"/>
        <v>64</v>
      </c>
      <c r="G70" s="95" t="str">
        <f>IF(((IFERROR(VLOOKUP($B70,'Main Table'!$I$10:$I$555,1,FALSE),"X"))="X"),"","X")</f>
        <v/>
      </c>
      <c r="H70" s="95" t="str">
        <f>IF(((IFERROR(VLOOKUP($B70,'Main Table'!$M$10:$M$555,1,FALSE),"X"))="X"),"","X")</f>
        <v/>
      </c>
      <c r="I70" s="95" t="str">
        <f>IF(((IFERROR(VLOOKUP($B70,'Main Table'!$Q$10:$Q$555,1,FALSE),"X"))="X"),"","X")</f>
        <v>X</v>
      </c>
      <c r="J70" s="95" t="str">
        <f>IF(((IFERROR(VLOOKUP($B70,'Critical Micelle Conc. (CMC)'!$P$9:$P$533,1,FALSE),"X"))="X"),"","X")</f>
        <v/>
      </c>
      <c r="K70" s="95" t="str">
        <f>IF(((IFERROR(VLOOKUP($B70,pKa!$J$8:$J$579,1,FALSE),"X"))="X"),"","X")</f>
        <v/>
      </c>
      <c r="L70" s="95" t="str">
        <f>IF(((IFERROR(VLOOKUP($B70,'Vapor Pressure (VP)'!$N$9:$N$603,1,FALSE),"X"))="X"),"","X")</f>
        <v>X</v>
      </c>
      <c r="M70" s="95" t="str">
        <f>IF(((IFERROR(VLOOKUP($B70,'Solubility (S)'!$P$9:$P$598,1,FALSE),"X"))="X"),"","X")</f>
        <v/>
      </c>
      <c r="N70" s="95" t="str">
        <f>IF(((IFERROR(VLOOKUP($B70,'Henry''s Constant (KH)'!$O$9:$O$527,1,FALSE),"X"))="X"),"","X")</f>
        <v/>
      </c>
      <c r="O70" s="95" t="str">
        <f>IF(((IFERROR(VLOOKUP($B70,'Log Koc'!$H$8:$H$553,1,FALSE),"X"))="X"),"","X")</f>
        <v/>
      </c>
      <c r="P70" s="95" t="str">
        <f>IF(((IFERROR(VLOOKUP($B70,Biotransformation!$T$23:$T$396,1,FALSE),"X"))="X"),"","X")</f>
        <v/>
      </c>
    </row>
    <row r="71" spans="1:17" ht="64" x14ac:dyDescent="0.2">
      <c r="A71" s="274">
        <f t="shared" si="1"/>
        <v>65</v>
      </c>
      <c r="B71" s="33" t="s">
        <v>70</v>
      </c>
      <c r="C71" s="33" t="s">
        <v>1353</v>
      </c>
      <c r="D71" s="34" t="s">
        <v>1441</v>
      </c>
      <c r="E71" s="34"/>
      <c r="F71" s="53">
        <f t="shared" si="5"/>
        <v>65</v>
      </c>
      <c r="G71" s="95" t="str">
        <f>IF(((IFERROR(VLOOKUP($B71,'Main Table'!$I$10:$I$555,1,FALSE),"X"))="X"),"","X")</f>
        <v/>
      </c>
      <c r="H71" s="95" t="str">
        <f>IF(((IFERROR(VLOOKUP($B71,'Main Table'!$M$10:$M$555,1,FALSE),"X"))="X"),"","X")</f>
        <v>X</v>
      </c>
      <c r="I71" s="95" t="str">
        <f>IF(((IFERROR(VLOOKUP($B71,'Main Table'!$Q$10:$Q$555,1,FALSE),"X"))="X"),"","X")</f>
        <v/>
      </c>
      <c r="J71" s="95" t="str">
        <f>IF(((IFERROR(VLOOKUP($B71,'Critical Micelle Conc. (CMC)'!$P$9:$P$533,1,FALSE),"X"))="X"),"","X")</f>
        <v>X</v>
      </c>
      <c r="K71" s="95" t="str">
        <f>IF(((IFERROR(VLOOKUP($B71,pKa!$J$8:$J$579,1,FALSE),"X"))="X"),"","X")</f>
        <v/>
      </c>
      <c r="L71" s="95" t="str">
        <f>IF(((IFERROR(VLOOKUP($B71,'Vapor Pressure (VP)'!$N$9:$N$603,1,FALSE),"X"))="X"),"","X")</f>
        <v/>
      </c>
      <c r="M71" s="95" t="str">
        <f>IF(((IFERROR(VLOOKUP($B71,'Solubility (S)'!$P$9:$P$598,1,FALSE),"X"))="X"),"","X")</f>
        <v/>
      </c>
      <c r="N71" s="95" t="str">
        <f>IF(((IFERROR(VLOOKUP($B71,'Henry''s Constant (KH)'!$O$9:$O$527,1,FALSE),"X"))="X"),"","X")</f>
        <v/>
      </c>
      <c r="O71" s="95" t="str">
        <f>IF(((IFERROR(VLOOKUP($B71,'Log Koc'!$H$8:$H$553,1,FALSE),"X"))="X"),"","X")</f>
        <v/>
      </c>
      <c r="P71" s="95" t="str">
        <f>IF(((IFERROR(VLOOKUP($B71,Biotransformation!$T$23:$T$396,1,FALSE),"X"))="X"),"","X")</f>
        <v/>
      </c>
    </row>
    <row r="72" spans="1:17" ht="64" x14ac:dyDescent="0.2">
      <c r="A72" s="274">
        <f t="shared" si="1"/>
        <v>66</v>
      </c>
      <c r="B72" s="575" t="s">
        <v>604</v>
      </c>
      <c r="C72" s="33" t="s">
        <v>1353</v>
      </c>
      <c r="D72" s="45" t="s">
        <v>1442</v>
      </c>
      <c r="E72" s="34"/>
      <c r="F72" s="53">
        <f t="shared" si="5"/>
        <v>66</v>
      </c>
      <c r="G72" s="95" t="str">
        <f>IF(((IFERROR(VLOOKUP($B72,'Main Table'!$I$10:$I$555,1,FALSE),"X"))="X"),"","X")</f>
        <v/>
      </c>
      <c r="H72" s="95" t="str">
        <f>IF(((IFERROR(VLOOKUP($B72,'Main Table'!$M$10:$M$555,1,FALSE),"X"))="X"),"","X")</f>
        <v/>
      </c>
      <c r="I72" s="95" t="str">
        <f>IF(((IFERROR(VLOOKUP($B72,'Main Table'!$Q$10:$Q$555,1,FALSE),"X"))="X"),"","X")</f>
        <v/>
      </c>
      <c r="J72" s="95" t="str">
        <f>IF(((IFERROR(VLOOKUP($B72,'Critical Micelle Conc. (CMC)'!$P$9:$P$533,1,FALSE),"X"))="X"),"","X")</f>
        <v/>
      </c>
      <c r="K72" s="95" t="str">
        <f>IF(((IFERROR(VLOOKUP($B72,pKa!$J$8:$J$579,1,FALSE),"X"))="X"),"","X")</f>
        <v/>
      </c>
      <c r="L72" s="95" t="str">
        <f>IF(((IFERROR(VLOOKUP($B72,'Vapor Pressure (VP)'!$N$9:$N$603,1,FALSE),"X"))="X"),"","X")</f>
        <v/>
      </c>
      <c r="M72" s="95" t="str">
        <f>IF(((IFERROR(VLOOKUP($B72,'Solubility (S)'!$P$9:$P$598,1,FALSE),"X"))="X"),"","X")</f>
        <v/>
      </c>
      <c r="N72" s="95" t="str">
        <f>IF(((IFERROR(VLOOKUP($B72,'Henry''s Constant (KH)'!$O$9:$O$527,1,FALSE),"X"))="X"),"","X")</f>
        <v>X</v>
      </c>
      <c r="O72" s="95" t="str">
        <f>IF(((IFERROR(VLOOKUP($B72,'Log Koc'!$H$8:$H$553,1,FALSE),"X"))="X"),"","X")</f>
        <v/>
      </c>
      <c r="P72" s="95" t="str">
        <f>IF(((IFERROR(VLOOKUP($B72,Biotransformation!$T$23:$T$396,1,FALSE),"X"))="X"),"","X")</f>
        <v/>
      </c>
    </row>
    <row r="73" spans="1:17" ht="112" x14ac:dyDescent="0.2">
      <c r="A73" s="274">
        <f t="shared" si="1"/>
        <v>67</v>
      </c>
      <c r="B73" s="32" t="s">
        <v>733</v>
      </c>
      <c r="C73" s="33" t="s">
        <v>1353</v>
      </c>
      <c r="D73" s="35" t="s">
        <v>1443</v>
      </c>
      <c r="E73" s="34" t="s">
        <v>1444</v>
      </c>
      <c r="F73" s="53">
        <f t="shared" si="5"/>
        <v>67</v>
      </c>
      <c r="G73" s="95" t="str">
        <f>IF(((IFERROR(VLOOKUP($B73,'Main Table'!$I$10:$I$555,1,FALSE),"X"))="X"),"","X")</f>
        <v/>
      </c>
      <c r="H73" s="95" t="str">
        <f>IF(((IFERROR(VLOOKUP($B73,'Main Table'!$M$10:$M$555,1,FALSE),"X"))="X"),"","X")</f>
        <v/>
      </c>
      <c r="I73" s="95" t="str">
        <f>IF(((IFERROR(VLOOKUP($B73,'Main Table'!$Q$10:$Q$555,1,FALSE),"X"))="X"),"","X")</f>
        <v/>
      </c>
      <c r="J73" s="95" t="str">
        <f>IF(((IFERROR(VLOOKUP($B73,'Critical Micelle Conc. (CMC)'!$P$9:$P$533,1,FALSE),"X"))="X"),"","X")</f>
        <v/>
      </c>
      <c r="K73" s="95" t="str">
        <f>IF(((IFERROR(VLOOKUP($B73,pKa!$J$8:$J$579,1,FALSE),"X"))="X"),"","X")</f>
        <v/>
      </c>
      <c r="L73" s="95" t="str">
        <f>IF(((IFERROR(VLOOKUP($B73,'Vapor Pressure (VP)'!$N$9:$N$603,1,FALSE),"X"))="X"),"","X")</f>
        <v/>
      </c>
      <c r="M73" s="95" t="str">
        <f>IF(((IFERROR(VLOOKUP($B73,'Solubility (S)'!$P$9:$P$598,1,FALSE),"X"))="X"),"","X")</f>
        <v/>
      </c>
      <c r="N73" s="95" t="str">
        <f>IF(((IFERROR(VLOOKUP($B73,'Henry''s Constant (KH)'!$O$9:$O$527,1,FALSE),"X"))="X"),"","X")</f>
        <v/>
      </c>
      <c r="O73" s="95" t="str">
        <f>IF(((IFERROR(VLOOKUP($B73,'Log Koc'!$H$8:$H$553,1,FALSE),"X"))="X"),"","X")</f>
        <v>X</v>
      </c>
      <c r="P73" s="95" t="str">
        <f>IF(((IFERROR(VLOOKUP($B73,Biotransformation!$T$23:$T$396,1,FALSE),"X"))="X"),"","X")</f>
        <v/>
      </c>
    </row>
    <row r="74" spans="1:17" ht="48" x14ac:dyDescent="0.2">
      <c r="A74" s="274">
        <f t="shared" si="1"/>
        <v>68</v>
      </c>
      <c r="B74" s="578" t="s">
        <v>567</v>
      </c>
      <c r="C74" s="33" t="s">
        <v>1353</v>
      </c>
      <c r="D74" s="45" t="s">
        <v>1445</v>
      </c>
      <c r="E74" s="34"/>
      <c r="F74" s="53">
        <f t="shared" si="5"/>
        <v>68</v>
      </c>
      <c r="G74" s="95" t="str">
        <f>IF(((IFERROR(VLOOKUP($B74,'Main Table'!$I$10:$I$555,1,FALSE),"X"))="X"),"","X")</f>
        <v/>
      </c>
      <c r="H74" s="95" t="str">
        <f>IF(((IFERROR(VLOOKUP($B74,'Main Table'!$M$10:$M$555,1,FALSE),"X"))="X"),"","X")</f>
        <v/>
      </c>
      <c r="I74" s="95" t="str">
        <f>IF(((IFERROR(VLOOKUP($B74,'Main Table'!$Q$10:$Q$555,1,FALSE),"X"))="X"),"","X")</f>
        <v/>
      </c>
      <c r="J74" s="95" t="str">
        <f>IF(((IFERROR(VLOOKUP($B74,'Critical Micelle Conc. (CMC)'!$P$9:$P$533,1,FALSE),"X"))="X"),"","X")</f>
        <v/>
      </c>
      <c r="K74" s="95" t="str">
        <f>IF(((IFERROR(VLOOKUP($B74,pKa!$J$8:$J$579,1,FALSE),"X"))="X"),"","X")</f>
        <v/>
      </c>
      <c r="L74" s="95" t="str">
        <f>IF(((IFERROR(VLOOKUP($B74,'Vapor Pressure (VP)'!$N$9:$N$603,1,FALSE),"X"))="X"),"","X")</f>
        <v>X</v>
      </c>
      <c r="M74" s="95" t="str">
        <f>IF(((IFERROR(VLOOKUP($B74,'Solubility (S)'!$P$9:$P$598,1,FALSE),"X"))="X"),"","X")</f>
        <v/>
      </c>
      <c r="N74" s="95" t="str">
        <f>IF(((IFERROR(VLOOKUP($B74,'Henry''s Constant (KH)'!$O$9:$O$527,1,FALSE),"X"))="X"),"","X")</f>
        <v>X</v>
      </c>
      <c r="O74" s="95" t="str">
        <f>IF(((IFERROR(VLOOKUP($B74,'Log Koc'!$H$8:$H$553,1,FALSE),"X"))="X"),"","X")</f>
        <v/>
      </c>
      <c r="P74" s="95" t="str">
        <f>IF(((IFERROR(VLOOKUP($B74,Biotransformation!$T$23:$T$396,1,FALSE),"X"))="X"),"","X")</f>
        <v/>
      </c>
    </row>
    <row r="75" spans="1:17" ht="64" x14ac:dyDescent="0.2">
      <c r="A75" s="274">
        <f t="shared" ref="A75:A140" si="6">A74+1</f>
        <v>69</v>
      </c>
      <c r="B75" s="32" t="s">
        <v>692</v>
      </c>
      <c r="C75" s="33" t="s">
        <v>1353</v>
      </c>
      <c r="D75" s="35" t="s">
        <v>1446</v>
      </c>
      <c r="E75" s="34" t="s">
        <v>1447</v>
      </c>
      <c r="F75" s="53">
        <f t="shared" si="5"/>
        <v>69</v>
      </c>
      <c r="G75" s="95" t="str">
        <f>IF(((IFERROR(VLOOKUP($B75,'Main Table'!$I$10:$I$555,1,FALSE),"X"))="X"),"","X")</f>
        <v/>
      </c>
      <c r="H75" s="95" t="str">
        <f>IF(((IFERROR(VLOOKUP($B75,'Main Table'!$M$10:$M$555,1,FALSE),"X"))="X"),"","X")</f>
        <v/>
      </c>
      <c r="I75" s="95" t="str">
        <f>IF(((IFERROR(VLOOKUP($B75,'Main Table'!$Q$10:$Q$555,1,FALSE),"X"))="X"),"","X")</f>
        <v/>
      </c>
      <c r="J75" s="95" t="str">
        <f>IF(((IFERROR(VLOOKUP($B75,'Critical Micelle Conc. (CMC)'!$P$9:$P$533,1,FALSE),"X"))="X"),"","X")</f>
        <v/>
      </c>
      <c r="K75" s="95" t="str">
        <f>IF(((IFERROR(VLOOKUP($B75,pKa!$J$8:$J$579,1,FALSE),"X"))="X"),"","X")</f>
        <v/>
      </c>
      <c r="L75" s="95" t="str">
        <f>IF(((IFERROR(VLOOKUP($B75,'Vapor Pressure (VP)'!$N$9:$N$603,1,FALSE),"X"))="X"),"","X")</f>
        <v/>
      </c>
      <c r="M75" s="95" t="str">
        <f>IF(((IFERROR(VLOOKUP($B75,'Solubility (S)'!$P$9:$P$598,1,FALSE),"X"))="X"),"","X")</f>
        <v/>
      </c>
      <c r="N75" s="95" t="str">
        <f>IF(((IFERROR(VLOOKUP($B75,'Henry''s Constant (KH)'!$O$9:$O$527,1,FALSE),"X"))="X"),"","X")</f>
        <v/>
      </c>
      <c r="O75" s="95" t="str">
        <f>IF(((IFERROR(VLOOKUP($B75,'Log Koc'!$H$8:$H$553,1,FALSE),"X"))="X"),"","X")</f>
        <v>X</v>
      </c>
      <c r="P75" s="95" t="str">
        <f>IF(((IFERROR(VLOOKUP($B75,Biotransformation!$T$23:$T$396,1,FALSE),"X"))="X"),"","X")</f>
        <v/>
      </c>
    </row>
    <row r="76" spans="1:17" ht="81" x14ac:dyDescent="0.25">
      <c r="A76" s="274">
        <f t="shared" si="6"/>
        <v>70</v>
      </c>
      <c r="B76" s="575" t="s">
        <v>705</v>
      </c>
      <c r="C76" s="33" t="s">
        <v>1353</v>
      </c>
      <c r="D76" s="576" t="s">
        <v>1448</v>
      </c>
      <c r="E76" s="576" t="s">
        <v>1449</v>
      </c>
      <c r="F76" s="53">
        <f t="shared" si="5"/>
        <v>70</v>
      </c>
      <c r="G76" s="95" t="str">
        <f>IF(((IFERROR(VLOOKUP($B76,'Main Table'!$I$10:$I$555,1,FALSE),"X"))="X"),"","X")</f>
        <v/>
      </c>
      <c r="H76" s="95" t="str">
        <f>IF(((IFERROR(VLOOKUP($B76,'Main Table'!$M$10:$M$555,1,FALSE),"X"))="X"),"","X")</f>
        <v/>
      </c>
      <c r="I76" s="95" t="str">
        <f>IF(((IFERROR(VLOOKUP($B76,'Main Table'!$Q$10:$Q$555,1,FALSE),"X"))="X"),"","X")</f>
        <v/>
      </c>
      <c r="J76" s="95" t="str">
        <f>IF(((IFERROR(VLOOKUP($B76,'Critical Micelle Conc. (CMC)'!$P$9:$P$533,1,FALSE),"X"))="X"),"","X")</f>
        <v/>
      </c>
      <c r="K76" s="95" t="str">
        <f>IF(((IFERROR(VLOOKUP($B76,pKa!$J$8:$J$579,1,FALSE),"X"))="X"),"","X")</f>
        <v/>
      </c>
      <c r="L76" s="95" t="str">
        <f>IF(((IFERROR(VLOOKUP($B76,'Vapor Pressure (VP)'!$N$9:$N$603,1,FALSE),"X"))="X"),"","X")</f>
        <v/>
      </c>
      <c r="M76" s="95" t="str">
        <f>IF(((IFERROR(VLOOKUP($B76,'Solubility (S)'!$P$9:$P$598,1,FALSE),"X"))="X"),"","X")</f>
        <v/>
      </c>
      <c r="N76" s="95" t="str">
        <f>IF(((IFERROR(VLOOKUP($B76,'Henry''s Constant (KH)'!$O$9:$O$527,1,FALSE),"X"))="X"),"","X")</f>
        <v/>
      </c>
      <c r="O76" s="95" t="str">
        <f>IF(((IFERROR(VLOOKUP($B76,'Log Koc'!$H$8:$H$553,1,FALSE),"X"))="X"),"","X")</f>
        <v>X</v>
      </c>
      <c r="P76" s="95" t="str">
        <f>IF(((IFERROR(VLOOKUP($B76,Biotransformation!$T$23:$T$396,1,FALSE),"X"))="X"),"","X")</f>
        <v/>
      </c>
    </row>
    <row r="77" spans="1:17" ht="48" x14ac:dyDescent="0.2">
      <c r="A77" s="274">
        <f t="shared" si="6"/>
        <v>71</v>
      </c>
      <c r="B77" s="575" t="s">
        <v>1082</v>
      </c>
      <c r="C77" s="33" t="s">
        <v>1353</v>
      </c>
      <c r="D77" s="576" t="s">
        <v>1450</v>
      </c>
      <c r="E77" s="576"/>
      <c r="F77" s="53">
        <f t="shared" si="5"/>
        <v>71</v>
      </c>
      <c r="G77" s="95" t="str">
        <f>IF(((IFERROR(VLOOKUP($B77,'Main Table'!$I$10:$I$555,1,FALSE),"X"))="X"),"","X")</f>
        <v/>
      </c>
      <c r="H77" s="95" t="str">
        <f>IF(((IFERROR(VLOOKUP($B77,'Main Table'!$M$10:$M$555,1,FALSE),"X"))="X"),"","X")</f>
        <v/>
      </c>
      <c r="I77" s="95" t="str">
        <f>IF(((IFERROR(VLOOKUP($B77,'Main Table'!$Q$10:$Q$555,1,FALSE),"X"))="X"),"","X")</f>
        <v/>
      </c>
      <c r="J77" s="95" t="str">
        <f>IF(((IFERROR(VLOOKUP($B77,'Critical Micelle Conc. (CMC)'!$P$9:$P$533,1,FALSE),"X"))="X"),"","X")</f>
        <v/>
      </c>
      <c r="K77" s="95" t="str">
        <f>IF(((IFERROR(VLOOKUP($B77,pKa!$J$8:$J$579,1,FALSE),"X"))="X"),"","X")</f>
        <v/>
      </c>
      <c r="L77" s="95" t="str">
        <f>IF(((IFERROR(VLOOKUP($B77,'Vapor Pressure (VP)'!$N$9:$N$603,1,FALSE),"X"))="X"),"","X")</f>
        <v/>
      </c>
      <c r="M77" s="95" t="str">
        <f>IF(((IFERROR(VLOOKUP($B77,'Solubility (S)'!$P$9:$P$598,1,FALSE),"X"))="X"),"","X")</f>
        <v/>
      </c>
      <c r="N77" s="95" t="str">
        <f>IF(((IFERROR(VLOOKUP($B77,'Henry''s Constant (KH)'!$O$9:$O$527,1,FALSE),"X"))="X"),"","X")</f>
        <v/>
      </c>
      <c r="O77" s="95" t="str">
        <f>IF(((IFERROR(VLOOKUP($B77,'Log Koc'!$H$8:$H$553,1,FALSE),"X"))="X"),"","X")</f>
        <v/>
      </c>
      <c r="P77" s="95" t="str">
        <f>IF(((IFERROR(VLOOKUP($B77,Biotransformation!$T$23:$T$396,1,FALSE),"X"))="X"),"","X")</f>
        <v>X</v>
      </c>
    </row>
    <row r="78" spans="1:17" ht="48" x14ac:dyDescent="0.2">
      <c r="A78" s="274">
        <f t="shared" si="6"/>
        <v>72</v>
      </c>
      <c r="B78" s="575" t="s">
        <v>1071</v>
      </c>
      <c r="C78" s="33" t="s">
        <v>1353</v>
      </c>
      <c r="D78" s="526" t="s">
        <v>1451</v>
      </c>
      <c r="E78" s="576"/>
      <c r="F78" s="53">
        <f t="shared" si="5"/>
        <v>72</v>
      </c>
      <c r="G78" s="95" t="str">
        <f>IF(((IFERROR(VLOOKUP($B78,'Main Table'!$I$10:$I$555,1,FALSE),"X"))="X"),"","X")</f>
        <v/>
      </c>
      <c r="H78" s="95" t="str">
        <f>IF(((IFERROR(VLOOKUP($B78,'Main Table'!$M$10:$M$555,1,FALSE),"X"))="X"),"","X")</f>
        <v/>
      </c>
      <c r="I78" s="95" t="str">
        <f>IF(((IFERROR(VLOOKUP($B78,'Main Table'!$Q$10:$Q$555,1,FALSE),"X"))="X"),"","X")</f>
        <v/>
      </c>
      <c r="J78" s="95" t="str">
        <f>IF(((IFERROR(VLOOKUP($B78,'Critical Micelle Conc. (CMC)'!$P$9:$P$533,1,FALSE),"X"))="X"),"","X")</f>
        <v/>
      </c>
      <c r="K78" s="95" t="str">
        <f>IF(((IFERROR(VLOOKUP($B78,pKa!$J$8:$J$579,1,FALSE),"X"))="X"),"","X")</f>
        <v/>
      </c>
      <c r="L78" s="95" t="str">
        <f>IF(((IFERROR(VLOOKUP($B78,'Vapor Pressure (VP)'!$N$9:$N$603,1,FALSE),"X"))="X"),"","X")</f>
        <v/>
      </c>
      <c r="M78" s="95" t="str">
        <f>IF(((IFERROR(VLOOKUP($B78,'Solubility (S)'!$P$9:$P$598,1,FALSE),"X"))="X"),"","X")</f>
        <v/>
      </c>
      <c r="N78" s="95" t="str">
        <f>IF(((IFERROR(VLOOKUP($B78,'Henry''s Constant (KH)'!$O$9:$O$527,1,FALSE),"X"))="X"),"","X")</f>
        <v/>
      </c>
      <c r="O78" s="95" t="str">
        <f>IF(((IFERROR(VLOOKUP($B78,'Log Koc'!$H$8:$H$553,1,FALSE),"X"))="X"),"","X")</f>
        <v/>
      </c>
      <c r="P78" s="95" t="str">
        <f>IF(((IFERROR(VLOOKUP($B78,Biotransformation!$T$23:$T$396,1,FALSE),"X"))="X"),"","X")</f>
        <v>X</v>
      </c>
    </row>
    <row r="79" spans="1:17" ht="80" x14ac:dyDescent="0.2">
      <c r="A79" s="274">
        <f t="shared" si="6"/>
        <v>73</v>
      </c>
      <c r="B79" s="33" t="s">
        <v>576</v>
      </c>
      <c r="C79" s="33" t="s">
        <v>1353</v>
      </c>
      <c r="D79" s="34" t="s">
        <v>1452</v>
      </c>
      <c r="E79" s="34"/>
      <c r="F79" s="53">
        <f t="shared" si="5"/>
        <v>73</v>
      </c>
      <c r="G79" s="95" t="str">
        <f>IF(((IFERROR(VLOOKUP($B79,'Main Table'!$I$10:$I$555,1,FALSE),"X"))="X"),"","X")</f>
        <v/>
      </c>
      <c r="H79" s="95" t="str">
        <f>IF(((IFERROR(VLOOKUP($B79,'Main Table'!$M$10:$M$555,1,FALSE),"X"))="X"),"","X")</f>
        <v/>
      </c>
      <c r="I79" s="95" t="str">
        <f>IF(((IFERROR(VLOOKUP($B79,'Main Table'!$Q$10:$Q$555,1,FALSE),"X"))="X"),"","X")</f>
        <v/>
      </c>
      <c r="J79" s="95" t="str">
        <f>IF(((IFERROR(VLOOKUP($B79,'Critical Micelle Conc. (CMC)'!$P$9:$P$533,1,FALSE),"X"))="X"),"","X")</f>
        <v/>
      </c>
      <c r="K79" s="95" t="str">
        <f>IF(((IFERROR(VLOOKUP($B79,pKa!$J$8:$J$579,1,FALSE),"X"))="X"),"","X")</f>
        <v/>
      </c>
      <c r="L79" s="95" t="str">
        <f>IF(((IFERROR(VLOOKUP($B79,'Vapor Pressure (VP)'!$N$9:$N$603,1,FALSE),"X"))="X"),"","X")</f>
        <v>X</v>
      </c>
      <c r="M79" s="95" t="str">
        <f>IF(((IFERROR(VLOOKUP($B79,'Solubility (S)'!$P$9:$P$598,1,FALSE),"X"))="X"),"","X")</f>
        <v/>
      </c>
      <c r="N79" s="95" t="str">
        <f>IF(((IFERROR(VLOOKUP($B79,'Henry''s Constant (KH)'!$O$9:$O$527,1,FALSE),"X"))="X"),"","X")</f>
        <v>X</v>
      </c>
      <c r="O79" s="95" t="str">
        <f>IF(((IFERROR(VLOOKUP($B79,'Log Koc'!$H$8:$H$553,1,FALSE),"X"))="X"),"","X")</f>
        <v/>
      </c>
      <c r="P79" s="95" t="str">
        <f>IF(((IFERROR(VLOOKUP($B79,Biotransformation!$T$23:$T$396,1,FALSE),"X"))="X"),"","X")</f>
        <v/>
      </c>
    </row>
    <row r="80" spans="1:17" ht="64" x14ac:dyDescent="0.2">
      <c r="A80" s="274">
        <f t="shared" si="6"/>
        <v>74</v>
      </c>
      <c r="B80" s="578" t="s">
        <v>605</v>
      </c>
      <c r="C80" s="33" t="s">
        <v>1353</v>
      </c>
      <c r="D80" s="45" t="s">
        <v>1453</v>
      </c>
      <c r="E80" s="34"/>
      <c r="F80" s="53">
        <f t="shared" si="5"/>
        <v>74</v>
      </c>
      <c r="G80" s="95" t="str">
        <f>IF(((IFERROR(VLOOKUP($B80,'Main Table'!$I$10:$I$555,1,FALSE),"X"))="X"),"","X")</f>
        <v/>
      </c>
      <c r="H80" s="95" t="str">
        <f>IF(((IFERROR(VLOOKUP($B80,'Main Table'!$M$10:$M$555,1,FALSE),"X"))="X"),"","X")</f>
        <v/>
      </c>
      <c r="I80" s="95" t="str">
        <f>IF(((IFERROR(VLOOKUP($B80,'Main Table'!$Q$10:$Q$555,1,FALSE),"X"))="X"),"","X")</f>
        <v/>
      </c>
      <c r="J80" s="95" t="str">
        <f>IF(((IFERROR(VLOOKUP($B80,'Critical Micelle Conc. (CMC)'!$P$9:$P$533,1,FALSE),"X"))="X"),"","X")</f>
        <v/>
      </c>
      <c r="K80" s="95" t="str">
        <f>IF(((IFERROR(VLOOKUP($B80,pKa!$J$8:$J$579,1,FALSE),"X"))="X"),"","X")</f>
        <v/>
      </c>
      <c r="L80" s="95" t="str">
        <f>IF(((IFERROR(VLOOKUP($B80,'Vapor Pressure (VP)'!$N$9:$N$603,1,FALSE),"X"))="X"),"","X")</f>
        <v/>
      </c>
      <c r="M80" s="95" t="str">
        <f>IF(((IFERROR(VLOOKUP($B80,'Solubility (S)'!$P$9:$P$598,1,FALSE),"X"))="X"),"","X")</f>
        <v/>
      </c>
      <c r="N80" s="95" t="str">
        <f>IF(((IFERROR(VLOOKUP($B80,'Henry''s Constant (KH)'!$O$9:$O$527,1,FALSE),"X"))="X"),"","X")</f>
        <v>X</v>
      </c>
      <c r="O80" s="95" t="str">
        <f>IF(((IFERROR(VLOOKUP($B80,'Log Koc'!$H$8:$H$553,1,FALSE),"X"))="X"),"","X")</f>
        <v/>
      </c>
      <c r="P80" s="95" t="str">
        <f>IF(((IFERROR(VLOOKUP($B80,Biotransformation!$T$23:$T$396,1,FALSE),"X"))="X"),"","X")</f>
        <v/>
      </c>
    </row>
    <row r="81" spans="1:16" ht="96" x14ac:dyDescent="0.2">
      <c r="A81" s="274">
        <f t="shared" si="6"/>
        <v>75</v>
      </c>
      <c r="B81" s="575" t="s">
        <v>1245</v>
      </c>
      <c r="C81" s="33" t="s">
        <v>1353</v>
      </c>
      <c r="D81" s="526" t="s">
        <v>1454</v>
      </c>
      <c r="E81" s="576" t="s">
        <v>1455</v>
      </c>
      <c r="F81" s="53">
        <f t="shared" si="5"/>
        <v>75</v>
      </c>
      <c r="G81" s="95" t="str">
        <f>IF(((IFERROR(VLOOKUP($B81,'Main Table'!$I$10:$I$555,1,FALSE),"X"))="X"),"","X")</f>
        <v/>
      </c>
      <c r="H81" s="95" t="str">
        <f>IF(((IFERROR(VLOOKUP($B81,'Main Table'!$M$10:$M$555,1,FALSE),"X"))="X"),"","X")</f>
        <v/>
      </c>
      <c r="I81" s="95" t="str">
        <f>IF(((IFERROR(VLOOKUP($B81,'Main Table'!$Q$10:$Q$555,1,FALSE),"X"))="X"),"","X")</f>
        <v/>
      </c>
      <c r="J81" s="95" t="str">
        <f>IF(((IFERROR(VLOOKUP($B81,'Critical Micelle Conc. (CMC)'!$P$9:$P$533,1,FALSE),"X"))="X"),"","X")</f>
        <v/>
      </c>
      <c r="K81" s="95" t="str">
        <f>IF(((IFERROR(VLOOKUP($B81,pKa!$J$8:$J$579,1,FALSE),"X"))="X"),"","X")</f>
        <v/>
      </c>
      <c r="L81" s="95" t="str">
        <f>IF(((IFERROR(VLOOKUP($B81,'Vapor Pressure (VP)'!$N$9:$N$603,1,FALSE),"X"))="X"),"","X")</f>
        <v/>
      </c>
      <c r="M81" s="95" t="str">
        <f>IF(((IFERROR(VLOOKUP($B81,'Solubility (S)'!$P$9:$P$598,1,FALSE),"X"))="X"),"","X")</f>
        <v/>
      </c>
      <c r="N81" s="95" t="str">
        <f>IF(((IFERROR(VLOOKUP($B81,'Henry''s Constant (KH)'!$O$9:$O$527,1,FALSE),"X"))="X"),"","X")</f>
        <v/>
      </c>
      <c r="O81" s="95" t="str">
        <f>IF(((IFERROR(VLOOKUP($B81,'Log Koc'!$H$8:$H$553,1,FALSE),"X"))="X"),"","X")</f>
        <v/>
      </c>
      <c r="P81" s="95" t="str">
        <f>IF(((IFERROR(VLOOKUP($B81,Biotransformation!$T$23:$T$396,1,FALSE),"X"))="X"),"","X")</f>
        <v>X</v>
      </c>
    </row>
    <row r="82" spans="1:16" ht="64" x14ac:dyDescent="0.2">
      <c r="A82" s="274">
        <f t="shared" si="6"/>
        <v>76</v>
      </c>
      <c r="B82" s="33" t="s">
        <v>540</v>
      </c>
      <c r="C82" s="33" t="s">
        <v>1353</v>
      </c>
      <c r="D82" s="36" t="s">
        <v>1456</v>
      </c>
      <c r="E82" s="34" t="s">
        <v>1457</v>
      </c>
      <c r="F82" s="53">
        <f t="shared" si="5"/>
        <v>76</v>
      </c>
      <c r="G82" s="95" t="str">
        <f>IF(((IFERROR(VLOOKUP($B82,'Main Table'!$I$10:$I$555,1,FALSE),"X"))="X"),"","X")</f>
        <v/>
      </c>
      <c r="H82" s="95" t="str">
        <f>IF(((IFERROR(VLOOKUP($B82,'Main Table'!$M$10:$M$555,1,FALSE),"X"))="X"),"","X")</f>
        <v/>
      </c>
      <c r="I82" s="95" t="str">
        <f>IF(((IFERROR(VLOOKUP($B82,'Main Table'!$Q$10:$Q$555,1,FALSE),"X"))="X"),"","X")</f>
        <v/>
      </c>
      <c r="J82" s="95" t="str">
        <f>IF(((IFERROR(VLOOKUP($B82,'Critical Micelle Conc. (CMC)'!$P$9:$P$533,1,FALSE),"X"))="X"),"","X")</f>
        <v/>
      </c>
      <c r="K82" s="95" t="str">
        <f>IF(((IFERROR(VLOOKUP($B82,pKa!$J$8:$J$579,1,FALSE),"X"))="X"),"","X")</f>
        <v/>
      </c>
      <c r="L82" s="95" t="str">
        <f>IF(((IFERROR(VLOOKUP($B82,'Vapor Pressure (VP)'!$N$9:$N$603,1,FALSE),"X"))="X"),"","X")</f>
        <v/>
      </c>
      <c r="M82" s="95" t="str">
        <f>IF(((IFERROR(VLOOKUP($B82,'Solubility (S)'!$P$9:$P$598,1,FALSE),"X"))="X"),"","X")</f>
        <v>X</v>
      </c>
      <c r="N82" s="95" t="str">
        <f>IF(((IFERROR(VLOOKUP($B82,'Henry''s Constant (KH)'!$O$9:$O$527,1,FALSE),"X"))="X"),"","X")</f>
        <v/>
      </c>
      <c r="O82" s="95" t="str">
        <f>IF(((IFERROR(VLOOKUP($B82,'Log Koc'!$H$8:$H$553,1,FALSE),"X"))="X"),"","X")</f>
        <v>X</v>
      </c>
      <c r="P82" s="95" t="str">
        <f>IF(((IFERROR(VLOOKUP($B82,Biotransformation!$T$23:$T$396,1,FALSE),"X"))="X"),"","X")</f>
        <v/>
      </c>
    </row>
    <row r="83" spans="1:16" ht="48" x14ac:dyDescent="0.2">
      <c r="A83" s="274">
        <f t="shared" si="6"/>
        <v>77</v>
      </c>
      <c r="B83" s="33" t="s">
        <v>536</v>
      </c>
      <c r="C83" s="33" t="s">
        <v>1353</v>
      </c>
      <c r="D83" s="34" t="s">
        <v>1458</v>
      </c>
      <c r="E83" s="34" t="s">
        <v>1459</v>
      </c>
      <c r="F83" s="53">
        <f t="shared" si="5"/>
        <v>77</v>
      </c>
      <c r="G83" s="95" t="str">
        <f>IF(((IFERROR(VLOOKUP($B83,'Main Table'!$I$10:$I$555,1,FALSE),"X"))="X"),"","X")</f>
        <v/>
      </c>
      <c r="H83" s="95" t="str">
        <f>IF(((IFERROR(VLOOKUP($B83,'Main Table'!$M$10:$M$555,1,FALSE),"X"))="X"),"","X")</f>
        <v/>
      </c>
      <c r="I83" s="95" t="str">
        <f>IF(((IFERROR(VLOOKUP($B83,'Main Table'!$Q$10:$Q$555,1,FALSE),"X"))="X"),"","X")</f>
        <v/>
      </c>
      <c r="J83" s="95" t="str">
        <f>IF(((IFERROR(VLOOKUP($B83,'Critical Micelle Conc. (CMC)'!$P$9:$P$533,1,FALSE),"X"))="X"),"","X")</f>
        <v/>
      </c>
      <c r="K83" s="95" t="str">
        <f>IF(((IFERROR(VLOOKUP($B83,pKa!$J$8:$J$579,1,FALSE),"X"))="X"),"","X")</f>
        <v/>
      </c>
      <c r="L83" s="95" t="str">
        <f>IF(((IFERROR(VLOOKUP($B83,'Vapor Pressure (VP)'!$N$9:$N$603,1,FALSE),"X"))="X"),"","X")</f>
        <v/>
      </c>
      <c r="M83" s="95" t="str">
        <f>IF(((IFERROR(VLOOKUP($B83,'Solubility (S)'!$P$9:$P$598,1,FALSE),"X"))="X"),"","X")</f>
        <v>X</v>
      </c>
      <c r="N83" s="95" t="str">
        <f>IF(((IFERROR(VLOOKUP($B83,'Henry''s Constant (KH)'!$O$9:$O$527,1,FALSE),"X"))="X"),"","X")</f>
        <v/>
      </c>
      <c r="O83" s="95" t="str">
        <f>IF(((IFERROR(VLOOKUP($B83,'Log Koc'!$H$8:$H$553,1,FALSE),"X"))="X"),"","X")</f>
        <v>X</v>
      </c>
      <c r="P83" s="95" t="str">
        <f>IF(((IFERROR(VLOOKUP($B83,Biotransformation!$T$23:$T$396,1,FALSE),"X"))="X"),"","X")</f>
        <v/>
      </c>
    </row>
    <row r="84" spans="1:16" ht="32" x14ac:dyDescent="0.2">
      <c r="A84" s="274">
        <f t="shared" si="6"/>
        <v>78</v>
      </c>
      <c r="B84" s="575" t="s">
        <v>1166</v>
      </c>
      <c r="C84" s="33" t="s">
        <v>1353</v>
      </c>
      <c r="D84" s="380" t="s">
        <v>1460</v>
      </c>
      <c r="E84" s="576"/>
      <c r="F84" s="53">
        <f t="shared" si="5"/>
        <v>78</v>
      </c>
      <c r="G84" s="95" t="str">
        <f>IF(((IFERROR(VLOOKUP($B84,'Main Table'!$I$10:$I$555,1,FALSE),"X"))="X"),"","X")</f>
        <v/>
      </c>
      <c r="H84" s="95" t="str">
        <f>IF(((IFERROR(VLOOKUP($B84,'Main Table'!$M$10:$M$555,1,FALSE),"X"))="X"),"","X")</f>
        <v/>
      </c>
      <c r="I84" s="95" t="str">
        <f>IF(((IFERROR(VLOOKUP($B84,'Main Table'!$Q$10:$Q$555,1,FALSE),"X"))="X"),"","X")</f>
        <v/>
      </c>
      <c r="J84" s="95" t="str">
        <f>IF(((IFERROR(VLOOKUP($B84,'Critical Micelle Conc. (CMC)'!$P$9:$P$533,1,FALSE),"X"))="X"),"","X")</f>
        <v/>
      </c>
      <c r="K84" s="95" t="str">
        <f>IF(((IFERROR(VLOOKUP($B84,pKa!$J$8:$J$579,1,FALSE),"X"))="X"),"","X")</f>
        <v/>
      </c>
      <c r="L84" s="95" t="str">
        <f>IF(((IFERROR(VLOOKUP($B84,'Vapor Pressure (VP)'!$N$9:$N$603,1,FALSE),"X"))="X"),"","X")</f>
        <v/>
      </c>
      <c r="M84" s="95" t="str">
        <f>IF(((IFERROR(VLOOKUP($B84,'Solubility (S)'!$P$9:$P$598,1,FALSE),"X"))="X"),"","X")</f>
        <v/>
      </c>
      <c r="N84" s="95" t="str">
        <f>IF(((IFERROR(VLOOKUP($B84,'Henry''s Constant (KH)'!$O$9:$O$527,1,FALSE),"X"))="X"),"","X")</f>
        <v/>
      </c>
      <c r="O84" s="95" t="str">
        <f>IF(((IFERROR(VLOOKUP($B84,'Log Koc'!$H$8:$H$553,1,FALSE),"X"))="X"),"","X")</f>
        <v/>
      </c>
      <c r="P84" s="95" t="str">
        <f>IF(((IFERROR(VLOOKUP($B84,Biotransformation!$T$23:$T$396,1,FALSE),"X"))="X"),"","X")</f>
        <v>X</v>
      </c>
    </row>
    <row r="85" spans="1:16" ht="64" x14ac:dyDescent="0.2">
      <c r="A85" s="274">
        <f t="shared" si="6"/>
        <v>79</v>
      </c>
      <c r="B85" s="575" t="s">
        <v>1131</v>
      </c>
      <c r="C85" s="33" t="s">
        <v>1353</v>
      </c>
      <c r="D85" s="526" t="s">
        <v>1461</v>
      </c>
      <c r="E85" s="576"/>
      <c r="F85" s="53">
        <f t="shared" si="5"/>
        <v>79</v>
      </c>
      <c r="G85" s="95" t="str">
        <f>IF(((IFERROR(VLOOKUP($B85,'Main Table'!$I$10:$I$555,1,FALSE),"X"))="X"),"","X")</f>
        <v/>
      </c>
      <c r="H85" s="95" t="str">
        <f>IF(((IFERROR(VLOOKUP($B85,'Main Table'!$M$10:$M$555,1,FALSE),"X"))="X"),"","X")</f>
        <v/>
      </c>
      <c r="I85" s="95" t="str">
        <f>IF(((IFERROR(VLOOKUP($B85,'Main Table'!$Q$10:$Q$555,1,FALSE),"X"))="X"),"","X")</f>
        <v/>
      </c>
      <c r="J85" s="95" t="str">
        <f>IF(((IFERROR(VLOOKUP($B85,'Critical Micelle Conc. (CMC)'!$P$9:$P$533,1,FALSE),"X"))="X"),"","X")</f>
        <v/>
      </c>
      <c r="K85" s="95" t="str">
        <f>IF(((IFERROR(VLOOKUP($B85,pKa!$J$8:$J$579,1,FALSE),"X"))="X"),"","X")</f>
        <v/>
      </c>
      <c r="L85" s="95" t="str">
        <f>IF(((IFERROR(VLOOKUP($B85,'Vapor Pressure (VP)'!$N$9:$N$603,1,FALSE),"X"))="X"),"","X")</f>
        <v/>
      </c>
      <c r="M85" s="95" t="str">
        <f>IF(((IFERROR(VLOOKUP($B85,'Solubility (S)'!$P$9:$P$598,1,FALSE),"X"))="X"),"","X")</f>
        <v/>
      </c>
      <c r="N85" s="95" t="str">
        <f>IF(((IFERROR(VLOOKUP($B85,'Henry''s Constant (KH)'!$O$9:$O$527,1,FALSE),"X"))="X"),"","X")</f>
        <v/>
      </c>
      <c r="O85" s="95" t="str">
        <f>IF(((IFERROR(VLOOKUP($B85,'Log Koc'!$H$8:$H$553,1,FALSE),"X"))="X"),"","X")</f>
        <v/>
      </c>
      <c r="P85" s="95" t="str">
        <f>IF(((IFERROR(VLOOKUP($B85,Biotransformation!$T$23:$T$396,1,FALSE),"X"))="X"),"","X")</f>
        <v>X</v>
      </c>
    </row>
    <row r="86" spans="1:16" ht="64" x14ac:dyDescent="0.2">
      <c r="A86" s="274">
        <f t="shared" si="6"/>
        <v>80</v>
      </c>
      <c r="B86" s="575" t="s">
        <v>1126</v>
      </c>
      <c r="C86" s="33" t="s">
        <v>1353</v>
      </c>
      <c r="D86" s="526" t="s">
        <v>1462</v>
      </c>
      <c r="E86" s="576"/>
      <c r="F86" s="53">
        <f t="shared" si="5"/>
        <v>80</v>
      </c>
      <c r="G86" s="95" t="str">
        <f>IF(((IFERROR(VLOOKUP($B86,'Main Table'!$I$10:$I$555,1,FALSE),"X"))="X"),"","X")</f>
        <v/>
      </c>
      <c r="H86" s="95" t="str">
        <f>IF(((IFERROR(VLOOKUP($B86,'Main Table'!$M$10:$M$555,1,FALSE),"X"))="X"),"","X")</f>
        <v/>
      </c>
      <c r="I86" s="95" t="str">
        <f>IF(((IFERROR(VLOOKUP($B86,'Main Table'!$Q$10:$Q$555,1,FALSE),"X"))="X"),"","X")</f>
        <v/>
      </c>
      <c r="J86" s="95" t="str">
        <f>IF(((IFERROR(VLOOKUP($B86,'Critical Micelle Conc. (CMC)'!$P$9:$P$533,1,FALSE),"X"))="X"),"","X")</f>
        <v/>
      </c>
      <c r="K86" s="95" t="str">
        <f>IF(((IFERROR(VLOOKUP($B86,pKa!$J$8:$J$579,1,FALSE),"X"))="X"),"","X")</f>
        <v/>
      </c>
      <c r="L86" s="95" t="str">
        <f>IF(((IFERROR(VLOOKUP($B86,'Vapor Pressure (VP)'!$N$9:$N$603,1,FALSE),"X"))="X"),"","X")</f>
        <v/>
      </c>
      <c r="M86" s="95" t="str">
        <f>IF(((IFERROR(VLOOKUP($B86,'Solubility (S)'!$P$9:$P$598,1,FALSE),"X"))="X"),"","X")</f>
        <v/>
      </c>
      <c r="N86" s="95" t="str">
        <f>IF(((IFERROR(VLOOKUP($B86,'Henry''s Constant (KH)'!$O$9:$O$527,1,FALSE),"X"))="X"),"","X")</f>
        <v/>
      </c>
      <c r="O86" s="95" t="str">
        <f>IF(((IFERROR(VLOOKUP($B86,'Log Koc'!$H$8:$H$553,1,FALSE),"X"))="X"),"","X")</f>
        <v/>
      </c>
      <c r="P86" s="95" t="str">
        <f>IF(((IFERROR(VLOOKUP($B86,Biotransformation!$T$23:$T$396,1,FALSE),"X"))="X"),"","X")</f>
        <v>X</v>
      </c>
    </row>
    <row r="87" spans="1:16" ht="64" x14ac:dyDescent="0.2">
      <c r="A87" s="274">
        <f t="shared" si="6"/>
        <v>81</v>
      </c>
      <c r="B87" s="575" t="s">
        <v>1039</v>
      </c>
      <c r="C87" s="33" t="s">
        <v>1353</v>
      </c>
      <c r="D87" s="526" t="s">
        <v>1463</v>
      </c>
      <c r="E87" s="576" t="s">
        <v>1464</v>
      </c>
      <c r="F87" s="53">
        <f t="shared" si="5"/>
        <v>81</v>
      </c>
      <c r="G87" s="95" t="str">
        <f>IF(((IFERROR(VLOOKUP($B87,'Main Table'!$I$10:$I$555,1,FALSE),"X"))="X"),"","X")</f>
        <v/>
      </c>
      <c r="H87" s="95" t="str">
        <f>IF(((IFERROR(VLOOKUP($B87,'Main Table'!$M$10:$M$555,1,FALSE),"X"))="X"),"","X")</f>
        <v/>
      </c>
      <c r="I87" s="95" t="str">
        <f>IF(((IFERROR(VLOOKUP($B87,'Main Table'!$Q$10:$Q$555,1,FALSE),"X"))="X"),"","X")</f>
        <v/>
      </c>
      <c r="J87" s="95" t="str">
        <f>IF(((IFERROR(VLOOKUP($B87,'Critical Micelle Conc. (CMC)'!$P$9:$P$533,1,FALSE),"X"))="X"),"","X")</f>
        <v/>
      </c>
      <c r="K87" s="95" t="str">
        <f>IF(((IFERROR(VLOOKUP($B87,pKa!$J$8:$J$579,1,FALSE),"X"))="X"),"","X")</f>
        <v/>
      </c>
      <c r="L87" s="95" t="str">
        <f>IF(((IFERROR(VLOOKUP($B87,'Vapor Pressure (VP)'!$N$9:$N$603,1,FALSE),"X"))="X"),"","X")</f>
        <v/>
      </c>
      <c r="M87" s="95" t="str">
        <f>IF(((IFERROR(VLOOKUP($B87,'Solubility (S)'!$P$9:$P$598,1,FALSE),"X"))="X"),"","X")</f>
        <v/>
      </c>
      <c r="N87" s="95" t="str">
        <f>IF(((IFERROR(VLOOKUP($B87,'Henry''s Constant (KH)'!$O$9:$O$527,1,FALSE),"X"))="X"),"","X")</f>
        <v/>
      </c>
      <c r="O87" s="95" t="str">
        <f>IF(((IFERROR(VLOOKUP($B87,'Log Koc'!$H$8:$H$553,1,FALSE),"X"))="X"),"","X")</f>
        <v/>
      </c>
      <c r="P87" s="95" t="str">
        <f>IF(((IFERROR(VLOOKUP($B87,Biotransformation!$T$23:$T$396,1,FALSE),"X"))="X"),"","X")</f>
        <v>X</v>
      </c>
    </row>
    <row r="88" spans="1:16" ht="48" x14ac:dyDescent="0.2">
      <c r="A88" s="274">
        <f t="shared" si="6"/>
        <v>82</v>
      </c>
      <c r="B88" s="32" t="s">
        <v>1096</v>
      </c>
      <c r="C88" s="33" t="s">
        <v>1353</v>
      </c>
      <c r="D88" s="35" t="s">
        <v>1465</v>
      </c>
      <c r="E88" s="34" t="s">
        <v>1466</v>
      </c>
      <c r="F88" s="53">
        <f t="shared" si="5"/>
        <v>82</v>
      </c>
      <c r="G88" s="95" t="str">
        <f>IF(((IFERROR(VLOOKUP($B88,'Main Table'!$I$10:$I$555,1,FALSE),"X"))="X"),"","X")</f>
        <v/>
      </c>
      <c r="H88" s="95" t="str">
        <f>IF(((IFERROR(VLOOKUP($B88,'Main Table'!$M$10:$M$555,1,FALSE),"X"))="X"),"","X")</f>
        <v/>
      </c>
      <c r="I88" s="95" t="str">
        <f>IF(((IFERROR(VLOOKUP($B88,'Main Table'!$Q$10:$Q$555,1,FALSE),"X"))="X"),"","X")</f>
        <v/>
      </c>
      <c r="J88" s="95" t="str">
        <f>IF(((IFERROR(VLOOKUP($B88,'Critical Micelle Conc. (CMC)'!$P$9:$P$533,1,FALSE),"X"))="X"),"","X")</f>
        <v/>
      </c>
      <c r="K88" s="95" t="str">
        <f>IF(((IFERROR(VLOOKUP($B88,pKa!$J$8:$J$579,1,FALSE),"X"))="X"),"","X")</f>
        <v/>
      </c>
      <c r="L88" s="95" t="str">
        <f>IF(((IFERROR(VLOOKUP($B88,'Vapor Pressure (VP)'!$N$9:$N$603,1,FALSE),"X"))="X"),"","X")</f>
        <v/>
      </c>
      <c r="M88" s="95" t="str">
        <f>IF(((IFERROR(VLOOKUP($B88,'Solubility (S)'!$P$9:$P$598,1,FALSE),"X"))="X"),"","X")</f>
        <v/>
      </c>
      <c r="N88" s="95" t="str">
        <f>IF(((IFERROR(VLOOKUP($B88,'Henry''s Constant (KH)'!$O$9:$O$527,1,FALSE),"X"))="X"),"","X")</f>
        <v/>
      </c>
      <c r="O88" s="95" t="str">
        <f>IF(((IFERROR(VLOOKUP($B88,'Log Koc'!$H$8:$H$553,1,FALSE),"X"))="X"),"","X")</f>
        <v/>
      </c>
      <c r="P88" s="95" t="str">
        <f>IF(((IFERROR(VLOOKUP($B88,Biotransformation!$T$23:$T$396,1,FALSE),"X"))="X"),"","X")</f>
        <v>X</v>
      </c>
    </row>
    <row r="89" spans="1:16" ht="48" x14ac:dyDescent="0.2">
      <c r="A89" s="274">
        <f t="shared" si="6"/>
        <v>83</v>
      </c>
      <c r="B89" s="575" t="s">
        <v>640</v>
      </c>
      <c r="C89" s="33" t="s">
        <v>1353</v>
      </c>
      <c r="D89" s="576" t="s">
        <v>1467</v>
      </c>
      <c r="E89" s="576"/>
      <c r="F89" s="53">
        <f t="shared" si="5"/>
        <v>83</v>
      </c>
      <c r="G89" s="95" t="str">
        <f>IF(((IFERROR(VLOOKUP($B89,'Main Table'!$I$10:$I$555,1,FALSE),"X"))="X"),"","X")</f>
        <v/>
      </c>
      <c r="H89" s="95" t="str">
        <f>IF(((IFERROR(VLOOKUP($B89,'Main Table'!$M$10:$M$555,1,FALSE),"X"))="X"),"","X")</f>
        <v/>
      </c>
      <c r="I89" s="95" t="str">
        <f>IF(((IFERROR(VLOOKUP($B89,'Main Table'!$Q$10:$Q$555,1,FALSE),"X"))="X"),"","X")</f>
        <v/>
      </c>
      <c r="J89" s="95" t="str">
        <f>IF(((IFERROR(VLOOKUP($B89,'Critical Micelle Conc. (CMC)'!$P$9:$P$533,1,FALSE),"X"))="X"),"","X")</f>
        <v>X</v>
      </c>
      <c r="K89" s="95" t="str">
        <f>IF(((IFERROR(VLOOKUP($B89,pKa!$J$8:$J$579,1,FALSE),"X"))="X"),"","X")</f>
        <v>X</v>
      </c>
      <c r="L89" s="95" t="str">
        <f>IF(((IFERROR(VLOOKUP($B89,'Vapor Pressure (VP)'!$N$9:$N$603,1,FALSE),"X"))="X"),"","X")</f>
        <v/>
      </c>
      <c r="M89" s="95" t="str">
        <f>IF(((IFERROR(VLOOKUP($B89,'Solubility (S)'!$P$9:$P$598,1,FALSE),"X"))="X"),"","X")</f>
        <v/>
      </c>
      <c r="N89" s="95" t="str">
        <f>IF(((IFERROR(VLOOKUP($B89,'Henry''s Constant (KH)'!$O$9:$O$527,1,FALSE),"X"))="X"),"","X")</f>
        <v/>
      </c>
      <c r="O89" s="95" t="str">
        <f>IF(((IFERROR(VLOOKUP($B89,'Log Koc'!$H$8:$H$553,1,FALSE),"X"))="X"),"","X")</f>
        <v/>
      </c>
      <c r="P89" s="95" t="str">
        <f>IF(((IFERROR(VLOOKUP($B89,Biotransformation!$T$23:$T$396,1,FALSE),"X"))="X"),"","X")</f>
        <v/>
      </c>
    </row>
    <row r="90" spans="1:16" ht="64" x14ac:dyDescent="0.2">
      <c r="A90" s="274">
        <f t="shared" si="6"/>
        <v>84</v>
      </c>
      <c r="B90" s="575" t="s">
        <v>639</v>
      </c>
      <c r="C90" s="33" t="s">
        <v>1353</v>
      </c>
      <c r="D90" s="576" t="s">
        <v>1468</v>
      </c>
      <c r="E90" s="576"/>
      <c r="F90" s="53">
        <f t="shared" si="5"/>
        <v>84</v>
      </c>
      <c r="G90" s="95" t="str">
        <f>IF(((IFERROR(VLOOKUP($B90,'Main Table'!$I$10:$I$555,1,FALSE),"X"))="X"),"","X")</f>
        <v/>
      </c>
      <c r="H90" s="95" t="str">
        <f>IF(((IFERROR(VLOOKUP($B90,'Main Table'!$M$10:$M$555,1,FALSE),"X"))="X"),"","X")</f>
        <v/>
      </c>
      <c r="I90" s="95" t="str">
        <f>IF(((IFERROR(VLOOKUP($B90,'Main Table'!$Q$10:$Q$555,1,FALSE),"X"))="X"),"","X")</f>
        <v/>
      </c>
      <c r="J90" s="95" t="str">
        <f>IF(((IFERROR(VLOOKUP($B90,'Critical Micelle Conc. (CMC)'!$P$9:$P$533,1,FALSE),"X"))="X"),"","X")</f>
        <v>X</v>
      </c>
      <c r="K90" s="95" t="str">
        <f>IF(((IFERROR(VLOOKUP($B90,pKa!$J$8:$J$579,1,FALSE),"X"))="X"),"","X")</f>
        <v/>
      </c>
      <c r="L90" s="95" t="str">
        <f>IF(((IFERROR(VLOOKUP($B90,'Vapor Pressure (VP)'!$N$9:$N$603,1,FALSE),"X"))="X"),"","X")</f>
        <v/>
      </c>
      <c r="M90" s="95" t="str">
        <f>IF(((IFERROR(VLOOKUP($B90,'Solubility (S)'!$P$9:$P$598,1,FALSE),"X"))="X"),"","X")</f>
        <v/>
      </c>
      <c r="N90" s="95" t="str">
        <f>IF(((IFERROR(VLOOKUP($B90,'Henry''s Constant (KH)'!$O$9:$O$527,1,FALSE),"X"))="X"),"","X")</f>
        <v/>
      </c>
      <c r="O90" s="95" t="str">
        <f>IF(((IFERROR(VLOOKUP($B90,'Log Koc'!$H$8:$H$553,1,FALSE),"X"))="X"),"","X")</f>
        <v/>
      </c>
      <c r="P90" s="95" t="str">
        <f>IF(((IFERROR(VLOOKUP($B90,Biotransformation!$T$23:$T$396,1,FALSE),"X"))="X"),"","X")</f>
        <v/>
      </c>
    </row>
    <row r="91" spans="1:16" ht="80" x14ac:dyDescent="0.2">
      <c r="A91" s="274">
        <f t="shared" si="6"/>
        <v>85</v>
      </c>
      <c r="B91" s="386" t="s">
        <v>1058</v>
      </c>
      <c r="C91" s="33" t="s">
        <v>1353</v>
      </c>
      <c r="D91" s="380" t="s">
        <v>1469</v>
      </c>
      <c r="E91" s="382" t="s">
        <v>1470</v>
      </c>
      <c r="F91" s="53">
        <f t="shared" si="5"/>
        <v>85</v>
      </c>
      <c r="G91" s="95" t="str">
        <f>IF(((IFERROR(VLOOKUP($B91,'Main Table'!$I$10:$I$555,1,FALSE),"X"))="X"),"","X")</f>
        <v/>
      </c>
      <c r="H91" s="95" t="str">
        <f>IF(((IFERROR(VLOOKUP($B91,'Main Table'!$M$10:$M$555,1,FALSE),"X"))="X"),"","X")</f>
        <v/>
      </c>
      <c r="I91" s="95" t="str">
        <f>IF(((IFERROR(VLOOKUP($B91,'Main Table'!$Q$10:$Q$555,1,FALSE),"X"))="X"),"","X")</f>
        <v/>
      </c>
      <c r="J91" s="95" t="str">
        <f>IF(((IFERROR(VLOOKUP($B91,'Critical Micelle Conc. (CMC)'!$P$9:$P$533,1,FALSE),"X"))="X"),"","X")</f>
        <v/>
      </c>
      <c r="K91" s="95" t="str">
        <f>IF(((IFERROR(VLOOKUP($B91,pKa!$J$8:$J$579,1,FALSE),"X"))="X"),"","X")</f>
        <v/>
      </c>
      <c r="L91" s="95" t="str">
        <f>IF(((IFERROR(VLOOKUP($B91,'Vapor Pressure (VP)'!$N$9:$N$603,1,FALSE),"X"))="X"),"","X")</f>
        <v/>
      </c>
      <c r="M91" s="95" t="str">
        <f>IF(((IFERROR(VLOOKUP($B91,'Solubility (S)'!$P$9:$P$598,1,FALSE),"X"))="X"),"","X")</f>
        <v/>
      </c>
      <c r="N91" s="95" t="str">
        <f>IF(((IFERROR(VLOOKUP($B91,'Henry''s Constant (KH)'!$O$9:$O$527,1,FALSE),"X"))="X"),"","X")</f>
        <v/>
      </c>
      <c r="O91" s="95" t="str">
        <f>IF(((IFERROR(VLOOKUP($B91,'Log Koc'!$H$8:$H$553,1,FALSE),"X"))="X"),"","X")</f>
        <v/>
      </c>
      <c r="P91" s="95" t="str">
        <f>IF(((IFERROR(VLOOKUP($B91,Biotransformation!$T$23:$T$396,1,FALSE),"X"))="X"),"","X")</f>
        <v>X</v>
      </c>
    </row>
    <row r="92" spans="1:16" ht="64" x14ac:dyDescent="0.2">
      <c r="A92" s="274">
        <f t="shared" si="6"/>
        <v>86</v>
      </c>
      <c r="B92" s="386" t="s">
        <v>1064</v>
      </c>
      <c r="C92" s="33" t="s">
        <v>1353</v>
      </c>
      <c r="D92" s="380" t="s">
        <v>1471</v>
      </c>
      <c r="E92" s="382"/>
      <c r="F92" s="53">
        <f t="shared" si="5"/>
        <v>86</v>
      </c>
      <c r="G92" s="95" t="str">
        <f>IF(((IFERROR(VLOOKUP($B92,'Main Table'!$I$10:$I$555,1,FALSE),"X"))="X"),"","X")</f>
        <v/>
      </c>
      <c r="H92" s="95" t="str">
        <f>IF(((IFERROR(VLOOKUP($B92,'Main Table'!$M$10:$M$555,1,FALSE),"X"))="X"),"","X")</f>
        <v/>
      </c>
      <c r="I92" s="95" t="str">
        <f>IF(((IFERROR(VLOOKUP($B92,'Main Table'!$Q$10:$Q$555,1,FALSE),"X"))="X"),"","X")</f>
        <v/>
      </c>
      <c r="J92" s="95" t="str">
        <f>IF(((IFERROR(VLOOKUP($B92,'Critical Micelle Conc. (CMC)'!$P$9:$P$533,1,FALSE),"X"))="X"),"","X")</f>
        <v/>
      </c>
      <c r="K92" s="95" t="str">
        <f>IF(((IFERROR(VLOOKUP($B92,pKa!$J$8:$J$579,1,FALSE),"X"))="X"),"","X")</f>
        <v/>
      </c>
      <c r="L92" s="95" t="str">
        <f>IF(((IFERROR(VLOOKUP($B92,'Vapor Pressure (VP)'!$N$9:$N$603,1,FALSE),"X"))="X"),"","X")</f>
        <v/>
      </c>
      <c r="M92" s="95" t="str">
        <f>IF(((IFERROR(VLOOKUP($B92,'Solubility (S)'!$P$9:$P$598,1,FALSE),"X"))="X"),"","X")</f>
        <v/>
      </c>
      <c r="N92" s="95" t="str">
        <f>IF(((IFERROR(VLOOKUP($B92,'Henry''s Constant (KH)'!$O$9:$O$527,1,FALSE),"X"))="X"),"","X")</f>
        <v/>
      </c>
      <c r="O92" s="95" t="str">
        <f>IF(((IFERROR(VLOOKUP($B92,'Log Koc'!$H$8:$H$553,1,FALSE),"X"))="X"),"","X")</f>
        <v/>
      </c>
      <c r="P92" s="95" t="str">
        <f>IF(((IFERROR(VLOOKUP($B92,Biotransformation!$T$23:$T$396,1,FALSE),"X"))="X"),"","X")</f>
        <v>X</v>
      </c>
    </row>
    <row r="93" spans="1:16" ht="48" x14ac:dyDescent="0.2">
      <c r="A93" s="274">
        <f t="shared" si="6"/>
        <v>87</v>
      </c>
      <c r="B93" s="32" t="s">
        <v>751</v>
      </c>
      <c r="C93" s="33" t="s">
        <v>1353</v>
      </c>
      <c r="D93" s="35" t="s">
        <v>1472</v>
      </c>
      <c r="E93" s="34" t="s">
        <v>1473</v>
      </c>
      <c r="F93" s="53">
        <f t="shared" si="5"/>
        <v>87</v>
      </c>
      <c r="G93" s="95" t="str">
        <f>IF(((IFERROR(VLOOKUP($B93,'Main Table'!$I$10:$I$555,1,FALSE),"X"))="X"),"","X")</f>
        <v/>
      </c>
      <c r="H93" s="95" t="str">
        <f>IF(((IFERROR(VLOOKUP($B93,'Main Table'!$M$10:$M$555,1,FALSE),"X"))="X"),"","X")</f>
        <v/>
      </c>
      <c r="I93" s="95" t="str">
        <f>IF(((IFERROR(VLOOKUP($B93,'Main Table'!$Q$10:$Q$555,1,FALSE),"X"))="X"),"","X")</f>
        <v/>
      </c>
      <c r="J93" s="95" t="str">
        <f>IF(((IFERROR(VLOOKUP($B93,'Critical Micelle Conc. (CMC)'!$P$9:$P$533,1,FALSE),"X"))="X"),"","X")</f>
        <v/>
      </c>
      <c r="K93" s="95" t="str">
        <f>IF(((IFERROR(VLOOKUP($B93,pKa!$J$8:$J$579,1,FALSE),"X"))="X"),"","X")</f>
        <v/>
      </c>
      <c r="L93" s="95" t="str">
        <f>IF(((IFERROR(VLOOKUP($B93,'Vapor Pressure (VP)'!$N$9:$N$603,1,FALSE),"X"))="X"),"","X")</f>
        <v/>
      </c>
      <c r="M93" s="95" t="str">
        <f>IF(((IFERROR(VLOOKUP($B93,'Solubility (S)'!$P$9:$P$598,1,FALSE),"X"))="X"),"","X")</f>
        <v/>
      </c>
      <c r="N93" s="95" t="str">
        <f>IF(((IFERROR(VLOOKUP($B93,'Henry''s Constant (KH)'!$O$9:$O$527,1,FALSE),"X"))="X"),"","X")</f>
        <v/>
      </c>
      <c r="O93" s="95" t="str">
        <f>IF(((IFERROR(VLOOKUP($B93,'Log Koc'!$H$8:$H$553,1,FALSE),"X"))="X"),"","X")</f>
        <v>X</v>
      </c>
      <c r="P93" s="95" t="str">
        <f>IF(((IFERROR(VLOOKUP($B93,Biotransformation!$T$23:$T$396,1,FALSE),"X"))="X"),"","X")</f>
        <v/>
      </c>
    </row>
    <row r="94" spans="1:16" ht="64" x14ac:dyDescent="0.2">
      <c r="A94" s="274">
        <f t="shared" si="6"/>
        <v>88</v>
      </c>
      <c r="B94" s="33" t="s">
        <v>949</v>
      </c>
      <c r="C94" s="33" t="s">
        <v>1353</v>
      </c>
      <c r="D94" s="34" t="s">
        <v>1474</v>
      </c>
      <c r="E94" s="34"/>
      <c r="F94" s="53">
        <f t="shared" si="5"/>
        <v>88</v>
      </c>
      <c r="G94" s="95" t="str">
        <f>IF(((IFERROR(VLOOKUP($B94,'Main Table'!$I$10:$I$555,1,FALSE),"X"))="X"),"","X")</f>
        <v/>
      </c>
      <c r="H94" s="95" t="str">
        <f>IF(((IFERROR(VLOOKUP($B94,'Main Table'!$M$10:$M$555,1,FALSE),"X"))="X"),"","X")</f>
        <v/>
      </c>
      <c r="I94" s="95" t="str">
        <f>IF(((IFERROR(VLOOKUP($B94,'Main Table'!$Q$10:$Q$555,1,FALSE),"X"))="X"),"","X")</f>
        <v/>
      </c>
      <c r="J94" s="95" t="str">
        <f>IF(((IFERROR(VLOOKUP($B94,'Critical Micelle Conc. (CMC)'!$P$9:$P$533,1,FALSE),"X"))="X"),"","X")</f>
        <v/>
      </c>
      <c r="K94" s="95" t="str">
        <f>IF(((IFERROR(VLOOKUP($B94,pKa!$J$8:$J$579,1,FALSE),"X"))="X"),"","X")</f>
        <v>X</v>
      </c>
      <c r="L94" s="95" t="str">
        <f>IF(((IFERROR(VLOOKUP($B94,'Vapor Pressure (VP)'!$N$9:$N$603,1,FALSE),"X"))="X"),"","X")</f>
        <v/>
      </c>
      <c r="M94" s="95" t="str">
        <f>IF(((IFERROR(VLOOKUP($B94,'Solubility (S)'!$P$9:$P$598,1,FALSE),"X"))="X"),"","X")</f>
        <v/>
      </c>
      <c r="N94" s="95" t="str">
        <f>IF(((IFERROR(VLOOKUP($B94,'Henry''s Constant (KH)'!$O$9:$O$527,1,FALSE),"X"))="X"),"","X")</f>
        <v/>
      </c>
      <c r="O94" s="95" t="str">
        <f>IF(((IFERROR(VLOOKUP($B94,'Log Koc'!$H$8:$H$553,1,FALSE),"X"))="X"),"","X")</f>
        <v/>
      </c>
      <c r="P94" s="95" t="str">
        <f>IF(((IFERROR(VLOOKUP($B94,Biotransformation!$T$23:$T$396,1,FALSE),"X"))="X"),"","X")</f>
        <v/>
      </c>
    </row>
    <row r="95" spans="1:16" ht="96" x14ac:dyDescent="0.2">
      <c r="A95" s="274">
        <f t="shared" si="6"/>
        <v>89</v>
      </c>
      <c r="B95" s="31" t="s">
        <v>719</v>
      </c>
      <c r="C95" s="33" t="s">
        <v>1353</v>
      </c>
      <c r="D95" s="35" t="s">
        <v>1475</v>
      </c>
      <c r="E95" s="34" t="s">
        <v>1476</v>
      </c>
      <c r="F95" s="53">
        <f t="shared" si="5"/>
        <v>89</v>
      </c>
      <c r="G95" s="95" t="str">
        <f>IF(((IFERROR(VLOOKUP($B95,'Main Table'!$I$10:$I$555,1,FALSE),"X"))="X"),"","X")</f>
        <v/>
      </c>
      <c r="H95" s="95" t="str">
        <f>IF(((IFERROR(VLOOKUP($B95,'Main Table'!$M$10:$M$555,1,FALSE),"X"))="X"),"","X")</f>
        <v/>
      </c>
      <c r="I95" s="95" t="str">
        <f>IF(((IFERROR(VLOOKUP($B95,'Main Table'!$Q$10:$Q$555,1,FALSE),"X"))="X"),"","X")</f>
        <v/>
      </c>
      <c r="J95" s="95" t="str">
        <f>IF(((IFERROR(VLOOKUP($B95,'Critical Micelle Conc. (CMC)'!$P$9:$P$533,1,FALSE),"X"))="X"),"","X")</f>
        <v/>
      </c>
      <c r="K95" s="95" t="str">
        <f>IF(((IFERROR(VLOOKUP($B95,pKa!$J$8:$J$579,1,FALSE),"X"))="X"),"","X")</f>
        <v/>
      </c>
      <c r="L95" s="95" t="str">
        <f>IF(((IFERROR(VLOOKUP($B95,'Vapor Pressure (VP)'!$N$9:$N$603,1,FALSE),"X"))="X"),"","X")</f>
        <v/>
      </c>
      <c r="M95" s="95" t="str">
        <f>IF(((IFERROR(VLOOKUP($B95,'Solubility (S)'!$P$9:$P$598,1,FALSE),"X"))="X"),"","X")</f>
        <v/>
      </c>
      <c r="N95" s="95" t="str">
        <f>IF(((IFERROR(VLOOKUP($B95,'Henry''s Constant (KH)'!$O$9:$O$527,1,FALSE),"X"))="X"),"","X")</f>
        <v/>
      </c>
      <c r="O95" s="95" t="str">
        <f>IF(((IFERROR(VLOOKUP($B95,'Log Koc'!$H$8:$H$553,1,FALSE),"X"))="X"),"","X")</f>
        <v>X</v>
      </c>
      <c r="P95" s="95" t="str">
        <f>IF(((IFERROR(VLOOKUP($B95,Biotransformation!$T$23:$T$396,1,FALSE),"X"))="X"),"","X")</f>
        <v/>
      </c>
    </row>
    <row r="96" spans="1:16" ht="80" x14ac:dyDescent="0.2">
      <c r="A96" s="274">
        <f t="shared" si="6"/>
        <v>90</v>
      </c>
      <c r="B96" s="32" t="s">
        <v>724</v>
      </c>
      <c r="C96" s="33" t="s">
        <v>1353</v>
      </c>
      <c r="D96" s="35" t="s">
        <v>1477</v>
      </c>
      <c r="E96" s="34" t="s">
        <v>1478</v>
      </c>
      <c r="F96" s="53">
        <f t="shared" si="5"/>
        <v>90</v>
      </c>
      <c r="G96" s="95" t="str">
        <f>IF(((IFERROR(VLOOKUP($B96,'Main Table'!$I$10:$I$555,1,FALSE),"X"))="X"),"","X")</f>
        <v/>
      </c>
      <c r="H96" s="95" t="str">
        <f>IF(((IFERROR(VLOOKUP($B96,'Main Table'!$M$10:$M$555,1,FALSE),"X"))="X"),"","X")</f>
        <v/>
      </c>
      <c r="I96" s="95" t="str">
        <f>IF(((IFERROR(VLOOKUP($B96,'Main Table'!$Q$10:$Q$555,1,FALSE),"X"))="X"),"","X")</f>
        <v/>
      </c>
      <c r="J96" s="95" t="str">
        <f>IF(((IFERROR(VLOOKUP($B96,'Critical Micelle Conc. (CMC)'!$P$9:$P$533,1,FALSE),"X"))="X"),"","X")</f>
        <v/>
      </c>
      <c r="K96" s="95" t="str">
        <f>IF(((IFERROR(VLOOKUP($B96,pKa!$J$8:$J$579,1,FALSE),"X"))="X"),"","X")</f>
        <v/>
      </c>
      <c r="L96" s="95" t="str">
        <f>IF(((IFERROR(VLOOKUP($B96,'Vapor Pressure (VP)'!$N$9:$N$603,1,FALSE),"X"))="X"),"","X")</f>
        <v/>
      </c>
      <c r="M96" s="95" t="str">
        <f>IF(((IFERROR(VLOOKUP($B96,'Solubility (S)'!$P$9:$P$598,1,FALSE),"X"))="X"),"","X")</f>
        <v/>
      </c>
      <c r="N96" s="95" t="str">
        <f>IF(((IFERROR(VLOOKUP($B96,'Henry''s Constant (KH)'!$O$9:$O$527,1,FALSE),"X"))="X"),"","X")</f>
        <v/>
      </c>
      <c r="O96" s="95" t="str">
        <f>IF(((IFERROR(VLOOKUP($B96,'Log Koc'!$H$8:$H$553,1,FALSE),"X"))="X"),"","X")</f>
        <v>X</v>
      </c>
      <c r="P96" s="95" t="str">
        <f>IF(((IFERROR(VLOOKUP($B96,Biotransformation!$T$23:$T$396,1,FALSE),"X"))="X"),"","X")</f>
        <v/>
      </c>
    </row>
    <row r="97" spans="1:17" ht="80" x14ac:dyDescent="0.2">
      <c r="A97" s="274">
        <f t="shared" si="6"/>
        <v>91</v>
      </c>
      <c r="B97" s="32" t="s">
        <v>673</v>
      </c>
      <c r="C97" s="33" t="s">
        <v>1353</v>
      </c>
      <c r="D97" s="35" t="s">
        <v>1479</v>
      </c>
      <c r="E97" s="34" t="s">
        <v>1478</v>
      </c>
      <c r="F97" s="53">
        <f t="shared" si="5"/>
        <v>91</v>
      </c>
      <c r="G97" s="95" t="str">
        <f>IF(((IFERROR(VLOOKUP($B97,'Main Table'!$I$10:$I$555,1,FALSE),"X"))="X"),"","X")</f>
        <v/>
      </c>
      <c r="H97" s="95" t="str">
        <f>IF(((IFERROR(VLOOKUP($B97,'Main Table'!$M$10:$M$555,1,FALSE),"X"))="X"),"","X")</f>
        <v/>
      </c>
      <c r="I97" s="95" t="str">
        <f>IF(((IFERROR(VLOOKUP($B97,'Main Table'!$Q$10:$Q$555,1,FALSE),"X"))="X"),"","X")</f>
        <v/>
      </c>
      <c r="J97" s="95" t="str">
        <f>IF(((IFERROR(VLOOKUP($B97,'Critical Micelle Conc. (CMC)'!$P$9:$P$533,1,FALSE),"X"))="X"),"","X")</f>
        <v/>
      </c>
      <c r="K97" s="95" t="str">
        <f>IF(((IFERROR(VLOOKUP($B97,pKa!$J$8:$J$579,1,FALSE),"X"))="X"),"","X")</f>
        <v/>
      </c>
      <c r="L97" s="95" t="str">
        <f>IF(((IFERROR(VLOOKUP($B97,'Vapor Pressure (VP)'!$N$9:$N$603,1,FALSE),"X"))="X"),"","X")</f>
        <v/>
      </c>
      <c r="M97" s="95" t="str">
        <f>IF(((IFERROR(VLOOKUP($B97,'Solubility (S)'!$P$9:$P$598,1,FALSE),"X"))="X"),"","X")</f>
        <v/>
      </c>
      <c r="N97" s="95" t="str">
        <f>IF(((IFERROR(VLOOKUP($B97,'Henry''s Constant (KH)'!$O$9:$O$527,1,FALSE),"X"))="X"),"","X")</f>
        <v/>
      </c>
      <c r="O97" s="95" t="str">
        <f>IF(((IFERROR(VLOOKUP($B97,'Log Koc'!$H$8:$H$553,1,FALSE),"X"))="X"),"","X")</f>
        <v>X</v>
      </c>
      <c r="P97" s="95" t="str">
        <f>IF(((IFERROR(VLOOKUP($B97,Biotransformation!$T$23:$T$396,1,FALSE),"X"))="X"),"","X")</f>
        <v/>
      </c>
    </row>
    <row r="98" spans="1:17" ht="64" x14ac:dyDescent="0.2">
      <c r="A98" s="274">
        <f t="shared" si="6"/>
        <v>92</v>
      </c>
      <c r="B98" s="32" t="s">
        <v>680</v>
      </c>
      <c r="C98" s="33" t="s">
        <v>1353</v>
      </c>
      <c r="D98" s="35" t="s">
        <v>1480</v>
      </c>
      <c r="E98" s="34" t="s">
        <v>1481</v>
      </c>
      <c r="F98" s="53">
        <f t="shared" si="5"/>
        <v>92</v>
      </c>
      <c r="G98" s="95" t="str">
        <f>IF(((IFERROR(VLOOKUP($B98,'Main Table'!$I$10:$I$555,1,FALSE),"X"))="X"),"","X")</f>
        <v/>
      </c>
      <c r="H98" s="95" t="str">
        <f>IF(((IFERROR(VLOOKUP($B98,'Main Table'!$M$10:$M$555,1,FALSE),"X"))="X"),"","X")</f>
        <v/>
      </c>
      <c r="I98" s="95" t="str">
        <f>IF(((IFERROR(VLOOKUP($B98,'Main Table'!$Q$10:$Q$555,1,FALSE),"X"))="X"),"","X")</f>
        <v/>
      </c>
      <c r="J98" s="95" t="str">
        <f>IF(((IFERROR(VLOOKUP($B98,'Critical Micelle Conc. (CMC)'!$P$9:$P$533,1,FALSE),"X"))="X"),"","X")</f>
        <v/>
      </c>
      <c r="K98" s="95" t="str">
        <f>IF(((IFERROR(VLOOKUP($B98,pKa!$J$8:$J$579,1,FALSE),"X"))="X"),"","X")</f>
        <v/>
      </c>
      <c r="L98" s="95" t="str">
        <f>IF(((IFERROR(VLOOKUP($B98,'Vapor Pressure (VP)'!$N$9:$N$603,1,FALSE),"X"))="X"),"","X")</f>
        <v/>
      </c>
      <c r="M98" s="95" t="str">
        <f>IF(((IFERROR(VLOOKUP($B98,'Solubility (S)'!$P$9:$P$598,1,FALSE),"X"))="X"),"","X")</f>
        <v/>
      </c>
      <c r="N98" s="95" t="str">
        <f>IF(((IFERROR(VLOOKUP($B98,'Henry''s Constant (KH)'!$O$9:$O$527,1,FALSE),"X"))="X"),"","X")</f>
        <v/>
      </c>
      <c r="O98" s="95" t="str">
        <f>IF(((IFERROR(VLOOKUP($B98,'Log Koc'!$H$8:$H$553,1,FALSE),"X"))="X"),"","X")</f>
        <v>X</v>
      </c>
      <c r="P98" s="95" t="str">
        <f>IF(((IFERROR(VLOOKUP($B98,Biotransformation!$T$23:$T$396,1,FALSE),"X"))="X"),"","X")</f>
        <v/>
      </c>
    </row>
    <row r="99" spans="1:17" ht="64" x14ac:dyDescent="0.2">
      <c r="A99" s="274">
        <f t="shared" si="6"/>
        <v>93</v>
      </c>
      <c r="B99" s="32" t="s">
        <v>739</v>
      </c>
      <c r="C99" s="33" t="s">
        <v>1353</v>
      </c>
      <c r="D99" s="35" t="s">
        <v>1482</v>
      </c>
      <c r="E99" s="34" t="s">
        <v>1483</v>
      </c>
      <c r="F99" s="53">
        <f t="shared" si="5"/>
        <v>93</v>
      </c>
      <c r="G99" s="95" t="str">
        <f>IF(((IFERROR(VLOOKUP($B99,'Main Table'!$I$10:$I$555,1,FALSE),"X"))="X"),"","X")</f>
        <v/>
      </c>
      <c r="H99" s="95" t="str">
        <f>IF(((IFERROR(VLOOKUP($B99,'Main Table'!$M$10:$M$555,1,FALSE),"X"))="X"),"","X")</f>
        <v/>
      </c>
      <c r="I99" s="95" t="str">
        <f>IF(((IFERROR(VLOOKUP($B99,'Main Table'!$Q$10:$Q$555,1,FALSE),"X"))="X"),"","X")</f>
        <v/>
      </c>
      <c r="J99" s="95" t="str">
        <f>IF(((IFERROR(VLOOKUP($B99,'Critical Micelle Conc. (CMC)'!$P$9:$P$533,1,FALSE),"X"))="X"),"","X")</f>
        <v/>
      </c>
      <c r="K99" s="95" t="str">
        <f>IF(((IFERROR(VLOOKUP($B99,pKa!$J$8:$J$579,1,FALSE),"X"))="X"),"","X")</f>
        <v/>
      </c>
      <c r="L99" s="95" t="str">
        <f>IF(((IFERROR(VLOOKUP($B99,'Vapor Pressure (VP)'!$N$9:$N$603,1,FALSE),"X"))="X"),"","X")</f>
        <v/>
      </c>
      <c r="M99" s="95" t="str">
        <f>IF(((IFERROR(VLOOKUP($B99,'Solubility (S)'!$P$9:$P$598,1,FALSE),"X"))="X"),"","X")</f>
        <v/>
      </c>
      <c r="N99" s="95" t="str">
        <f>IF(((IFERROR(VLOOKUP($B99,'Henry''s Constant (KH)'!$O$9:$O$527,1,FALSE),"X"))="X"),"","X")</f>
        <v/>
      </c>
      <c r="O99" s="95" t="str">
        <f>IF(((IFERROR(VLOOKUP($B99,'Log Koc'!$H$8:$H$553,1,FALSE),"X"))="X"),"","X")</f>
        <v>X</v>
      </c>
      <c r="P99" s="95" t="str">
        <f>IF(((IFERROR(VLOOKUP($B99,Biotransformation!$T$23:$T$396,1,FALSE),"X"))="X"),"","X")</f>
        <v/>
      </c>
    </row>
    <row r="100" spans="1:17" ht="80" x14ac:dyDescent="0.2">
      <c r="A100" s="274">
        <f t="shared" si="6"/>
        <v>94</v>
      </c>
      <c r="B100" s="31" t="s">
        <v>754</v>
      </c>
      <c r="C100" s="33" t="s">
        <v>1353</v>
      </c>
      <c r="D100" s="35" t="s">
        <v>1484</v>
      </c>
      <c r="E100" s="34" t="s">
        <v>1485</v>
      </c>
      <c r="F100" s="53">
        <f t="shared" si="5"/>
        <v>94</v>
      </c>
      <c r="G100" s="95" t="str">
        <f>IF(((IFERROR(VLOOKUP($B100,'Main Table'!$I$10:$I$555,1,FALSE),"X"))="X"),"","X")</f>
        <v/>
      </c>
      <c r="H100" s="95" t="str">
        <f>IF(((IFERROR(VLOOKUP($B100,'Main Table'!$M$10:$M$555,1,FALSE),"X"))="X"),"","X")</f>
        <v/>
      </c>
      <c r="I100" s="95" t="str">
        <f>IF(((IFERROR(VLOOKUP($B100,'Main Table'!$Q$10:$Q$555,1,FALSE),"X"))="X"),"","X")</f>
        <v/>
      </c>
      <c r="J100" s="95" t="str">
        <f>IF(((IFERROR(VLOOKUP($B100,'Critical Micelle Conc. (CMC)'!$P$9:$P$533,1,FALSE),"X"))="X"),"","X")</f>
        <v/>
      </c>
      <c r="K100" s="95" t="str">
        <f>IF(((IFERROR(VLOOKUP($B100,pKa!$J$8:$J$579,1,FALSE),"X"))="X"),"","X")</f>
        <v/>
      </c>
      <c r="L100" s="95" t="str">
        <f>IF(((IFERROR(VLOOKUP($B100,'Vapor Pressure (VP)'!$N$9:$N$603,1,FALSE),"X"))="X"),"","X")</f>
        <v/>
      </c>
      <c r="M100" s="95" t="str">
        <f>IF(((IFERROR(VLOOKUP($B100,'Solubility (S)'!$P$9:$P$598,1,FALSE),"X"))="X"),"","X")</f>
        <v/>
      </c>
      <c r="N100" s="95" t="str">
        <f>IF(((IFERROR(VLOOKUP($B100,'Henry''s Constant (KH)'!$O$9:$O$527,1,FALSE),"X"))="X"),"","X")</f>
        <v/>
      </c>
      <c r="O100" s="95" t="str">
        <f>IF(((IFERROR(VLOOKUP($B100,'Log Koc'!$H$8:$H$553,1,FALSE),"X"))="X"),"","X")</f>
        <v>X</v>
      </c>
      <c r="P100" s="95" t="str">
        <f>IF(((IFERROR(VLOOKUP($B100,Biotransformation!$T$23:$T$396,1,FALSE),"X"))="X"),"","X")</f>
        <v/>
      </c>
    </row>
    <row r="101" spans="1:17" ht="80" x14ac:dyDescent="0.2">
      <c r="A101" s="274">
        <f t="shared" si="6"/>
        <v>95</v>
      </c>
      <c r="B101" s="31" t="s">
        <v>997</v>
      </c>
      <c r="C101" s="33" t="s">
        <v>1353</v>
      </c>
      <c r="D101" s="35" t="s">
        <v>1486</v>
      </c>
      <c r="E101" s="34"/>
      <c r="F101" s="53">
        <f t="shared" ref="F101" si="7">A101</f>
        <v>95</v>
      </c>
      <c r="G101" s="95" t="str">
        <f>IF(((IFERROR(VLOOKUP($B101,'Main Table'!$I$10:$I$555,1,FALSE),"X"))="X"),"","X")</f>
        <v/>
      </c>
      <c r="H101" s="95" t="str">
        <f>IF(((IFERROR(VLOOKUP($B101,'Main Table'!$M$10:$M$555,1,FALSE),"X"))="X"),"","X")</f>
        <v/>
      </c>
      <c r="I101" s="95" t="str">
        <f>IF(((IFERROR(VLOOKUP($B101,'Main Table'!$Q$10:$Q$555,1,FALSE),"X"))="X"),"","X")</f>
        <v/>
      </c>
      <c r="J101" s="95" t="str">
        <f>IF(((IFERROR(VLOOKUP($B101,'Critical Micelle Conc. (CMC)'!$P$9:$P$533,1,FALSE),"X"))="X"),"","X")</f>
        <v/>
      </c>
      <c r="K101" s="95" t="str">
        <f>IF(((IFERROR(VLOOKUP($B101,pKa!$J$8:$J$579,1,FALSE),"X"))="X"),"","X")</f>
        <v/>
      </c>
      <c r="L101" s="95" t="str">
        <f>IF(((IFERROR(VLOOKUP($B101,'Vapor Pressure (VP)'!$N$9:$N$603,1,FALSE),"X"))="X"),"","X")</f>
        <v/>
      </c>
      <c r="M101" s="95" t="str">
        <f>IF(((IFERROR(VLOOKUP($B101,'Solubility (S)'!$P$9:$P$598,1,FALSE),"X"))="X"),"","X")</f>
        <v/>
      </c>
      <c r="N101" s="95" t="str">
        <f>IF(((IFERROR(VLOOKUP($B101,'Henry''s Constant (KH)'!$O$9:$O$527,1,FALSE),"X"))="X"),"","X")</f>
        <v/>
      </c>
      <c r="O101" s="95" t="str">
        <f>IF(((IFERROR(VLOOKUP($B101,'Log Koc'!$H$8:$H$553,1,FALSE),"X"))="X"),"","X")</f>
        <v/>
      </c>
      <c r="P101" s="95" t="str">
        <f>IF(((IFERROR(VLOOKUP($B101,Biotransformation!$T$23:$T$396,1,FALSE),"X"))="X"),"","X")</f>
        <v>X</v>
      </c>
    </row>
    <row r="102" spans="1:17" ht="80" x14ac:dyDescent="0.2">
      <c r="A102" s="274">
        <f t="shared" si="6"/>
        <v>96</v>
      </c>
      <c r="B102" s="32" t="s">
        <v>1286</v>
      </c>
      <c r="C102" s="33" t="s">
        <v>1353</v>
      </c>
      <c r="D102" s="35" t="s">
        <v>1487</v>
      </c>
      <c r="E102" s="34"/>
      <c r="F102" s="53">
        <f t="shared" si="5"/>
        <v>96</v>
      </c>
      <c r="G102" s="95" t="str">
        <f>IF(((IFERROR(VLOOKUP($B102,'Main Table'!$I$10:$I$555,1,FALSE),"X"))="X"),"","X")</f>
        <v/>
      </c>
      <c r="H102" s="95" t="str">
        <f>IF(((IFERROR(VLOOKUP($B102,'Main Table'!$M$10:$M$555,1,FALSE),"X"))="X"),"","X")</f>
        <v/>
      </c>
      <c r="I102" s="95" t="str">
        <f>IF(((IFERROR(VLOOKUP($B102,'Main Table'!$Q$10:$Q$555,1,FALSE),"X"))="X"),"","X")</f>
        <v/>
      </c>
      <c r="J102" s="95" t="str">
        <f>IF(((IFERROR(VLOOKUP($B102,'Critical Micelle Conc. (CMC)'!$P$9:$P$533,1,FALSE),"X"))="X"),"","X")</f>
        <v/>
      </c>
      <c r="K102" s="95" t="str">
        <f>IF(((IFERROR(VLOOKUP($B102,pKa!$J$8:$J$579,1,FALSE),"X"))="X"),"","X")</f>
        <v/>
      </c>
      <c r="L102" s="95" t="str">
        <f>IF(((IFERROR(VLOOKUP($B102,'Vapor Pressure (VP)'!$N$9:$N$603,1,FALSE),"X"))="X"),"","X")</f>
        <v/>
      </c>
      <c r="M102" s="95" t="str">
        <f>IF(((IFERROR(VLOOKUP($B102,'Solubility (S)'!$P$9:$P$598,1,FALSE),"X"))="X"),"","X")</f>
        <v/>
      </c>
      <c r="N102" s="95" t="str">
        <f>IF(((IFERROR(VLOOKUP($B102,'Henry''s Constant (KH)'!$O$9:$O$527,1,FALSE),"X"))="X"),"","X")</f>
        <v/>
      </c>
      <c r="O102" s="95" t="str">
        <f>IF(((IFERROR(VLOOKUP($B102,'Log Koc'!$H$8:$H$553,1,FALSE),"X"))="X"),"","X")</f>
        <v/>
      </c>
      <c r="P102" s="95" t="str">
        <f>IF(((IFERROR(VLOOKUP($B102,Biotransformation!$T$23:$T$396,1,FALSE),"X"))="X"),"","X")</f>
        <v>X</v>
      </c>
    </row>
    <row r="103" spans="1:17" ht="80" x14ac:dyDescent="0.2">
      <c r="A103" s="274">
        <f t="shared" si="6"/>
        <v>97</v>
      </c>
      <c r="B103" s="31" t="s">
        <v>675</v>
      </c>
      <c r="C103" s="33" t="s">
        <v>1353</v>
      </c>
      <c r="D103" s="35" t="s">
        <v>1488</v>
      </c>
      <c r="E103" s="34" t="s">
        <v>1489</v>
      </c>
      <c r="F103" s="53">
        <f t="shared" si="5"/>
        <v>97</v>
      </c>
      <c r="G103" s="95" t="str">
        <f>IF(((IFERROR(VLOOKUP($B103,'Main Table'!$I$10:$I$555,1,FALSE),"X"))="X"),"","X")</f>
        <v/>
      </c>
      <c r="H103" s="95" t="str">
        <f>IF(((IFERROR(VLOOKUP($B103,'Main Table'!$M$10:$M$555,1,FALSE),"X"))="X"),"","X")</f>
        <v/>
      </c>
      <c r="I103" s="95" t="str">
        <f>IF(((IFERROR(VLOOKUP($B103,'Main Table'!$Q$10:$Q$555,1,FALSE),"X"))="X"),"","X")</f>
        <v/>
      </c>
      <c r="J103" s="95" t="str">
        <f>IF(((IFERROR(VLOOKUP($B103,'Critical Micelle Conc. (CMC)'!$P$9:$P$533,1,FALSE),"X"))="X"),"","X")</f>
        <v/>
      </c>
      <c r="K103" s="95" t="str">
        <f>IF(((IFERROR(VLOOKUP($B103,pKa!$J$8:$J$579,1,FALSE),"X"))="X"),"","X")</f>
        <v/>
      </c>
      <c r="L103" s="95" t="str">
        <f>IF(((IFERROR(VLOOKUP($B103,'Vapor Pressure (VP)'!$N$9:$N$603,1,FALSE),"X"))="X"),"","X")</f>
        <v/>
      </c>
      <c r="M103" s="95" t="str">
        <f>IF(((IFERROR(VLOOKUP($B103,'Solubility (S)'!$P$9:$P$598,1,FALSE),"X"))="X"),"","X")</f>
        <v/>
      </c>
      <c r="N103" s="95" t="str">
        <f>IF(((IFERROR(VLOOKUP($B103,'Henry''s Constant (KH)'!$O$9:$O$527,1,FALSE),"X"))="X"),"","X")</f>
        <v/>
      </c>
      <c r="O103" s="95" t="str">
        <f>IF(((IFERROR(VLOOKUP($B103,'Log Koc'!$H$8:$H$553,1,FALSE),"X"))="X"),"","X")</f>
        <v>X</v>
      </c>
      <c r="P103" s="95" t="str">
        <f>IF(((IFERROR(VLOOKUP($B103,Biotransformation!$T$23:$T$396,1,FALSE),"X"))="X"),"","X")</f>
        <v/>
      </c>
    </row>
    <row r="104" spans="1:17" ht="59.25" customHeight="1" x14ac:dyDescent="0.2">
      <c r="A104" s="274">
        <f t="shared" si="6"/>
        <v>98</v>
      </c>
      <c r="B104" s="580" t="s">
        <v>607</v>
      </c>
      <c r="C104" s="33" t="s">
        <v>1353</v>
      </c>
      <c r="D104" s="576" t="s">
        <v>1490</v>
      </c>
      <c r="E104" s="576"/>
      <c r="F104" s="53">
        <f t="shared" si="5"/>
        <v>98</v>
      </c>
      <c r="G104" s="95" t="str">
        <f>IF(((IFERROR(VLOOKUP($B104,'Main Table'!$I$10:$I$555,1,FALSE),"X"))="X"),"","X")</f>
        <v/>
      </c>
      <c r="H104" s="95" t="str">
        <f>IF(((IFERROR(VLOOKUP($B104,'Main Table'!$M$10:$M$555,1,FALSE),"X"))="X"),"","X")</f>
        <v/>
      </c>
      <c r="I104" s="95" t="str">
        <f>IF(((IFERROR(VLOOKUP($B104,'Main Table'!$Q$10:$Q$555,1,FALSE),"X"))="X"),"","X")</f>
        <v/>
      </c>
      <c r="J104" s="95" t="str">
        <f>IF(((IFERROR(VLOOKUP($B104,'Critical Micelle Conc. (CMC)'!$P$9:$P$533,1,FALSE),"X"))="X"),"","X")</f>
        <v/>
      </c>
      <c r="K104" s="95" t="str">
        <f>IF(((IFERROR(VLOOKUP($B104,pKa!$J$8:$J$579,1,FALSE),"X"))="X"),"","X")</f>
        <v/>
      </c>
      <c r="L104" s="95" t="str">
        <f>IF(((IFERROR(VLOOKUP($B104,'Vapor Pressure (VP)'!$N$9:$N$603,1,FALSE),"X"))="X"),"","X")</f>
        <v/>
      </c>
      <c r="M104" s="95" t="str">
        <f>IF(((IFERROR(VLOOKUP($B104,'Solubility (S)'!$P$9:$P$598,1,FALSE),"X"))="X"),"","X")</f>
        <v/>
      </c>
      <c r="N104" s="95" t="str">
        <f>IF(((IFERROR(VLOOKUP($B104,'Henry''s Constant (KH)'!$O$9:$O$527,1,FALSE),"X"))="X"),"","X")</f>
        <v>X</v>
      </c>
      <c r="O104" s="95" t="str">
        <f>IF(((IFERROR(VLOOKUP($B104,'Log Koc'!$H$8:$H$553,1,FALSE),"X"))="X"),"","X")</f>
        <v/>
      </c>
      <c r="P104" s="95" t="str">
        <f>IF(((IFERROR(VLOOKUP($B104,Biotransformation!$T$23:$T$396,1,FALSE),"X"))="X"),"","X")</f>
        <v/>
      </c>
    </row>
    <row r="105" spans="1:17" ht="48" x14ac:dyDescent="0.2">
      <c r="A105" s="274">
        <f t="shared" si="6"/>
        <v>99</v>
      </c>
      <c r="B105" s="33" t="s">
        <v>101</v>
      </c>
      <c r="C105" s="33" t="s">
        <v>1355</v>
      </c>
      <c r="D105" s="34" t="s">
        <v>1491</v>
      </c>
      <c r="E105" s="34"/>
      <c r="F105" s="53">
        <f t="shared" si="5"/>
        <v>99</v>
      </c>
      <c r="G105" s="95" t="str">
        <f>IF(((IFERROR(VLOOKUP($B105,'Main Table'!$I$10:$I$555,1,FALSE),"X"))="X"),"","X")</f>
        <v/>
      </c>
      <c r="H105" s="95" t="str">
        <f>IF(((IFERROR(VLOOKUP($B105,'Main Table'!$M$10:$M$555,1,FALSE),"X"))="X"),"","X")</f>
        <v/>
      </c>
      <c r="I105" s="95" t="str">
        <f>IF(((IFERROR(VLOOKUP($B105,'Main Table'!$Q$10:$Q$555,1,FALSE),"X"))="X"),"","X")</f>
        <v/>
      </c>
      <c r="J105" s="95" t="str">
        <f>IF(((IFERROR(VLOOKUP($B105,'Critical Micelle Conc. (CMC)'!$P$9:$P$533,1,FALSE),"X"))="X"),"","X")</f>
        <v/>
      </c>
      <c r="K105" s="95" t="str">
        <f>IF(((IFERROR(VLOOKUP($B105,pKa!$J$8:$J$579,1,FALSE),"X"))="X"),"","X")</f>
        <v/>
      </c>
      <c r="L105" s="95" t="str">
        <f>IF(((IFERROR(VLOOKUP($B105,'Vapor Pressure (VP)'!$N$9:$N$603,1,FALSE),"X"))="X"),"","X")</f>
        <v>X</v>
      </c>
      <c r="M105" s="95" t="str">
        <f>IF(((IFERROR(VLOOKUP($B105,'Solubility (S)'!$P$9:$P$598,1,FALSE),"X"))="X"),"","X")</f>
        <v>X</v>
      </c>
      <c r="N105" s="95" t="str">
        <f>IF(((IFERROR(VLOOKUP($B105,'Henry''s Constant (KH)'!$O$9:$O$527,1,FALSE),"X"))="X"),"","X")</f>
        <v/>
      </c>
      <c r="O105" s="95" t="str">
        <f>IF(((IFERROR(VLOOKUP($B105,'Log Koc'!$H$8:$H$553,1,FALSE),"X"))="X"),"","X")</f>
        <v/>
      </c>
      <c r="P105" s="95" t="str">
        <f>IF(((IFERROR(VLOOKUP($B105,Biotransformation!$T$23:$T$396,1,FALSE),"X"))="X"),"","X")</f>
        <v/>
      </c>
    </row>
    <row r="106" spans="1:17" s="52" customFormat="1" ht="48" x14ac:dyDescent="0.2">
      <c r="A106" s="274">
        <f t="shared" si="6"/>
        <v>100</v>
      </c>
      <c r="B106" s="33" t="s">
        <v>1123</v>
      </c>
      <c r="C106" s="33" t="s">
        <v>1353</v>
      </c>
      <c r="D106" s="34" t="s">
        <v>1492</v>
      </c>
      <c r="E106" s="34" t="s">
        <v>1493</v>
      </c>
      <c r="F106" s="53">
        <f t="shared" si="5"/>
        <v>100</v>
      </c>
      <c r="G106" s="95" t="str">
        <f>IF(((IFERROR(VLOOKUP($B106,'Main Table'!$I$10:$I$555,1,FALSE),"X"))="X"),"","X")</f>
        <v/>
      </c>
      <c r="H106" s="95" t="str">
        <f>IF(((IFERROR(VLOOKUP($B106,'Main Table'!$M$10:$M$555,1,FALSE),"X"))="X"),"","X")</f>
        <v/>
      </c>
      <c r="I106" s="95" t="str">
        <f>IF(((IFERROR(VLOOKUP($B106,'Main Table'!$Q$10:$Q$555,1,FALSE),"X"))="X"),"","X")</f>
        <v/>
      </c>
      <c r="J106" s="95" t="str">
        <f>IF(((IFERROR(VLOOKUP($B106,'Critical Micelle Conc. (CMC)'!$P$9:$P$533,1,FALSE),"X"))="X"),"","X")</f>
        <v/>
      </c>
      <c r="K106" s="95" t="str">
        <f>IF(((IFERROR(VLOOKUP($B106,pKa!$J$8:$J$579,1,FALSE),"X"))="X"),"","X")</f>
        <v/>
      </c>
      <c r="L106" s="95" t="str">
        <f>IF(((IFERROR(VLOOKUP($B106,'Vapor Pressure (VP)'!$N$9:$N$603,1,FALSE),"X"))="X"),"","X")</f>
        <v/>
      </c>
      <c r="M106" s="95" t="str">
        <f>IF(((IFERROR(VLOOKUP($B106,'Solubility (S)'!$P$9:$P$598,1,FALSE),"X"))="X"),"","X")</f>
        <v/>
      </c>
      <c r="N106" s="95" t="str">
        <f>IF(((IFERROR(VLOOKUP($B106,'Henry''s Constant (KH)'!$O$9:$O$527,1,FALSE),"X"))="X"),"","X")</f>
        <v/>
      </c>
      <c r="O106" s="95" t="str">
        <f>IF(((IFERROR(VLOOKUP($B106,'Log Koc'!$H$8:$H$553,1,FALSE),"X"))="X"),"","X")</f>
        <v/>
      </c>
      <c r="P106" s="95" t="str">
        <f>IF(((IFERROR(VLOOKUP($B106,Biotransformation!$T$23:$T$396,1,FALSE),"X"))="X"),"","X")</f>
        <v>X</v>
      </c>
      <c r="Q106"/>
    </row>
    <row r="107" spans="1:17" s="52" customFormat="1" ht="80" x14ac:dyDescent="0.2">
      <c r="A107" s="274">
        <f t="shared" si="6"/>
        <v>101</v>
      </c>
      <c r="B107" s="575" t="s">
        <v>602</v>
      </c>
      <c r="C107" s="33" t="s">
        <v>1353</v>
      </c>
      <c r="D107" s="45" t="s">
        <v>1494</v>
      </c>
      <c r="E107" s="34"/>
      <c r="F107" s="53">
        <f t="shared" si="5"/>
        <v>101</v>
      </c>
      <c r="G107" s="95" t="str">
        <f>IF(((IFERROR(VLOOKUP($B107,'Main Table'!$I$10:$I$555,1,FALSE),"X"))="X"),"","X")</f>
        <v/>
      </c>
      <c r="H107" s="95" t="str">
        <f>IF(((IFERROR(VLOOKUP($B107,'Main Table'!$M$10:$M$555,1,FALSE),"X"))="X"),"","X")</f>
        <v/>
      </c>
      <c r="I107" s="95" t="str">
        <f>IF(((IFERROR(VLOOKUP($B107,'Main Table'!$Q$10:$Q$555,1,FALSE),"X"))="X"),"","X")</f>
        <v/>
      </c>
      <c r="J107" s="95" t="str">
        <f>IF(((IFERROR(VLOOKUP($B107,'Critical Micelle Conc. (CMC)'!$P$9:$P$533,1,FALSE),"X"))="X"),"","X")</f>
        <v/>
      </c>
      <c r="K107" s="95" t="str">
        <f>IF(((IFERROR(VLOOKUP($B107,pKa!$J$8:$J$579,1,FALSE),"X"))="X"),"","X")</f>
        <v/>
      </c>
      <c r="L107" s="95" t="str">
        <f>IF(((IFERROR(VLOOKUP($B107,'Vapor Pressure (VP)'!$N$9:$N$603,1,FALSE),"X"))="X"),"","X")</f>
        <v/>
      </c>
      <c r="M107" s="95" t="str">
        <f>IF(((IFERROR(VLOOKUP($B107,'Solubility (S)'!$P$9:$P$598,1,FALSE),"X"))="X"),"","X")</f>
        <v/>
      </c>
      <c r="N107" s="95" t="str">
        <f>IF(((IFERROR(VLOOKUP($B107,'Henry''s Constant (KH)'!$O$9:$O$527,1,FALSE),"X"))="X"),"","X")</f>
        <v>X</v>
      </c>
      <c r="O107" s="95" t="str">
        <f>IF(((IFERROR(VLOOKUP($B107,'Log Koc'!$H$8:$H$553,1,FALSE),"X"))="X"),"","X")</f>
        <v/>
      </c>
      <c r="P107" s="95" t="str">
        <f>IF(((IFERROR(VLOOKUP($B107,Biotransformation!$T$23:$T$396,1,FALSE),"X"))="X"),"","X")</f>
        <v/>
      </c>
      <c r="Q107"/>
    </row>
    <row r="108" spans="1:17" s="52" customFormat="1" ht="64" x14ac:dyDescent="0.2">
      <c r="A108" s="274">
        <f t="shared" si="6"/>
        <v>102</v>
      </c>
      <c r="B108" s="575" t="s">
        <v>660</v>
      </c>
      <c r="C108" s="33" t="s">
        <v>1353</v>
      </c>
      <c r="D108" s="45" t="s">
        <v>1495</v>
      </c>
      <c r="E108" s="34"/>
      <c r="F108" s="53">
        <f t="shared" si="5"/>
        <v>102</v>
      </c>
      <c r="G108" s="95" t="str">
        <f>IF(((IFERROR(VLOOKUP($B108,'Main Table'!$I$10:$I$555,1,FALSE),"X"))="X"),"","X")</f>
        <v/>
      </c>
      <c r="H108" s="95" t="str">
        <f>IF(((IFERROR(VLOOKUP($B108,'Main Table'!$M$10:$M$555,1,FALSE),"X"))="X"),"","X")</f>
        <v/>
      </c>
      <c r="I108" s="95" t="str">
        <f>IF(((IFERROR(VLOOKUP($B108,'Main Table'!$Q$10:$Q$555,1,FALSE),"X"))="X"),"","X")</f>
        <v/>
      </c>
      <c r="J108" s="95" t="str">
        <f>IF(((IFERROR(VLOOKUP($B108,'Critical Micelle Conc. (CMC)'!$P$9:$P$533,1,FALSE),"X"))="X"),"","X")</f>
        <v/>
      </c>
      <c r="K108" s="95" t="str">
        <f>IF(((IFERROR(VLOOKUP($B108,pKa!$J$8:$J$579,1,FALSE),"X"))="X"),"","X")</f>
        <v/>
      </c>
      <c r="L108" s="95" t="str">
        <f>IF(((IFERROR(VLOOKUP($B108,'Vapor Pressure (VP)'!$N$9:$N$603,1,FALSE),"X"))="X"),"","X")</f>
        <v/>
      </c>
      <c r="M108" s="95" t="str">
        <f>IF(((IFERROR(VLOOKUP($B108,'Solubility (S)'!$P$9:$P$598,1,FALSE),"X"))="X"),"","X")</f>
        <v/>
      </c>
      <c r="N108" s="95" t="str">
        <f>IF(((IFERROR(VLOOKUP($B108,'Henry''s Constant (KH)'!$O$9:$O$527,1,FALSE),"X"))="X"),"","X")</f>
        <v/>
      </c>
      <c r="O108" s="95" t="str">
        <f>IF(((IFERROR(VLOOKUP($B108,'Log Koc'!$H$8:$H$553,1,FALSE),"X"))="X"),"","X")</f>
        <v>X</v>
      </c>
      <c r="P108" s="95" t="str">
        <f>IF(((IFERROR(VLOOKUP($B108,Biotransformation!$T$23:$T$396,1,FALSE),"X"))="X"),"","X")</f>
        <v/>
      </c>
      <c r="Q108"/>
    </row>
    <row r="109" spans="1:17" s="52" customFormat="1" ht="96" x14ac:dyDescent="0.2">
      <c r="A109" s="274">
        <f t="shared" si="6"/>
        <v>103</v>
      </c>
      <c r="B109" s="575" t="s">
        <v>608</v>
      </c>
      <c r="C109" s="33" t="s">
        <v>1353</v>
      </c>
      <c r="D109" s="45" t="s">
        <v>1496</v>
      </c>
      <c r="E109" s="34"/>
      <c r="F109" s="53">
        <f t="shared" si="5"/>
        <v>103</v>
      </c>
      <c r="G109" s="95" t="str">
        <f>IF(((IFERROR(VLOOKUP($B109,'Main Table'!$I$10:$I$555,1,FALSE),"X"))="X"),"","X")</f>
        <v/>
      </c>
      <c r="H109" s="95" t="str">
        <f>IF(((IFERROR(VLOOKUP($B109,'Main Table'!$M$10:$M$555,1,FALSE),"X"))="X"),"","X")</f>
        <v/>
      </c>
      <c r="I109" s="95" t="str">
        <f>IF(((IFERROR(VLOOKUP($B109,'Main Table'!$Q$10:$Q$555,1,FALSE),"X"))="X"),"","X")</f>
        <v/>
      </c>
      <c r="J109" s="95" t="str">
        <f>IF(((IFERROR(VLOOKUP($B109,'Critical Micelle Conc. (CMC)'!$P$9:$P$533,1,FALSE),"X"))="X"),"","X")</f>
        <v/>
      </c>
      <c r="K109" s="95" t="str">
        <f>IF(((IFERROR(VLOOKUP($B109,pKa!$J$8:$J$579,1,FALSE),"X"))="X"),"","X")</f>
        <v/>
      </c>
      <c r="L109" s="95" t="str">
        <f>IF(((IFERROR(VLOOKUP($B109,'Vapor Pressure (VP)'!$N$9:$N$603,1,FALSE),"X"))="X"),"","X")</f>
        <v/>
      </c>
      <c r="M109" s="95" t="str">
        <f>IF(((IFERROR(VLOOKUP($B109,'Solubility (S)'!$P$9:$P$598,1,FALSE),"X"))="X"),"","X")</f>
        <v/>
      </c>
      <c r="N109" s="95" t="str">
        <f>IF(((IFERROR(VLOOKUP($B109,'Henry''s Constant (KH)'!$O$9:$O$527,1,FALSE),"X"))="X"),"","X")</f>
        <v>X</v>
      </c>
      <c r="O109" s="95" t="str">
        <f>IF(((IFERROR(VLOOKUP($B109,'Log Koc'!$H$8:$H$553,1,FALSE),"X"))="X"),"","X")</f>
        <v/>
      </c>
      <c r="P109" s="95" t="str">
        <f>IF(((IFERROR(VLOOKUP($B109,Biotransformation!$T$23:$T$396,1,FALSE),"X"))="X"),"","X")</f>
        <v/>
      </c>
      <c r="Q109"/>
    </row>
    <row r="110" spans="1:17" s="52" customFormat="1" ht="64" x14ac:dyDescent="0.2">
      <c r="A110" s="274">
        <f t="shared" si="6"/>
        <v>104</v>
      </c>
      <c r="B110" s="386" t="s">
        <v>1035</v>
      </c>
      <c r="C110" s="33" t="s">
        <v>1353</v>
      </c>
      <c r="D110" s="380" t="s">
        <v>1497</v>
      </c>
      <c r="E110" s="382" t="s">
        <v>1498</v>
      </c>
      <c r="F110" s="53">
        <f t="shared" si="5"/>
        <v>104</v>
      </c>
      <c r="G110" s="95" t="str">
        <f>IF(((IFERROR(VLOOKUP($B110,'Main Table'!$I$10:$I$555,1,FALSE),"X"))="X"),"","X")</f>
        <v/>
      </c>
      <c r="H110" s="95" t="str">
        <f>IF(((IFERROR(VLOOKUP($B110,'Main Table'!$M$10:$M$555,1,FALSE),"X"))="X"),"","X")</f>
        <v/>
      </c>
      <c r="I110" s="95" t="str">
        <f>IF(((IFERROR(VLOOKUP($B110,'Main Table'!$Q$10:$Q$555,1,FALSE),"X"))="X"),"","X")</f>
        <v/>
      </c>
      <c r="J110" s="95" t="str">
        <f>IF(((IFERROR(VLOOKUP($B110,'Critical Micelle Conc. (CMC)'!$P$9:$P$533,1,FALSE),"X"))="X"),"","X")</f>
        <v/>
      </c>
      <c r="K110" s="95" t="str">
        <f>IF(((IFERROR(VLOOKUP($B110,pKa!$J$8:$J$579,1,FALSE),"X"))="X"),"","X")</f>
        <v/>
      </c>
      <c r="L110" s="95" t="str">
        <f>IF(((IFERROR(VLOOKUP($B110,'Vapor Pressure (VP)'!$N$9:$N$603,1,FALSE),"X"))="X"),"","X")</f>
        <v/>
      </c>
      <c r="M110" s="95" t="str">
        <f>IF(((IFERROR(VLOOKUP($B110,'Solubility (S)'!$P$9:$P$598,1,FALSE),"X"))="X"),"","X")</f>
        <v/>
      </c>
      <c r="N110" s="95" t="str">
        <f>IF(((IFERROR(VLOOKUP($B110,'Henry''s Constant (KH)'!$O$9:$O$527,1,FALSE),"X"))="X"),"","X")</f>
        <v/>
      </c>
      <c r="O110" s="95" t="str">
        <f>IF(((IFERROR(VLOOKUP($B110,'Log Koc'!$H$8:$H$553,1,FALSE),"X"))="X"),"","X")</f>
        <v/>
      </c>
      <c r="P110" s="95" t="str">
        <f>IF(((IFERROR(VLOOKUP($B110,Biotransformation!$T$23:$T$396,1,FALSE),"X"))="X"),"","X")</f>
        <v>X</v>
      </c>
      <c r="Q110"/>
    </row>
    <row r="111" spans="1:17" s="52" customFormat="1" ht="72" customHeight="1" x14ac:dyDescent="0.2">
      <c r="A111" s="274">
        <f t="shared" si="6"/>
        <v>105</v>
      </c>
      <c r="B111" s="386" t="s">
        <v>1092</v>
      </c>
      <c r="C111" s="33" t="s">
        <v>1353</v>
      </c>
      <c r="D111" s="380" t="s">
        <v>1499</v>
      </c>
      <c r="E111" s="382"/>
      <c r="F111" s="53">
        <f t="shared" ref="F111:F174" si="8">A111</f>
        <v>105</v>
      </c>
      <c r="G111" s="95" t="str">
        <f>IF(((IFERROR(VLOOKUP($B111,'Main Table'!$I$10:$I$555,1,FALSE),"X"))="X"),"","X")</f>
        <v/>
      </c>
      <c r="H111" s="95" t="str">
        <f>IF(((IFERROR(VLOOKUP($B111,'Main Table'!$M$10:$M$555,1,FALSE),"X"))="X"),"","X")</f>
        <v/>
      </c>
      <c r="I111" s="95" t="str">
        <f>IF(((IFERROR(VLOOKUP($B111,'Main Table'!$Q$10:$Q$555,1,FALSE),"X"))="X"),"","X")</f>
        <v/>
      </c>
      <c r="J111" s="95" t="str">
        <f>IF(((IFERROR(VLOOKUP($B111,'Critical Micelle Conc. (CMC)'!$P$9:$P$533,1,FALSE),"X"))="X"),"","X")</f>
        <v/>
      </c>
      <c r="K111" s="95" t="str">
        <f>IF(((IFERROR(VLOOKUP($B111,pKa!$J$8:$J$579,1,FALSE),"X"))="X"),"","X")</f>
        <v/>
      </c>
      <c r="L111" s="95" t="str">
        <f>IF(((IFERROR(VLOOKUP($B111,'Vapor Pressure (VP)'!$N$9:$N$603,1,FALSE),"X"))="X"),"","X")</f>
        <v/>
      </c>
      <c r="M111" s="95" t="str">
        <f>IF(((IFERROR(VLOOKUP($B111,'Solubility (S)'!$P$9:$P$598,1,FALSE),"X"))="X"),"","X")</f>
        <v/>
      </c>
      <c r="N111" s="95" t="str">
        <f>IF(((IFERROR(VLOOKUP($B111,'Henry''s Constant (KH)'!$O$9:$O$527,1,FALSE),"X"))="X"),"","X")</f>
        <v/>
      </c>
      <c r="O111" s="95" t="str">
        <f>IF(((IFERROR(VLOOKUP($B111,'Log Koc'!$H$8:$H$553,1,FALSE),"X"))="X"),"","X")</f>
        <v/>
      </c>
      <c r="P111" s="95" t="str">
        <f>IF(((IFERROR(VLOOKUP($B111,Biotransformation!$T$23:$T$396,1,FALSE),"X"))="X"),"","X")</f>
        <v>X</v>
      </c>
      <c r="Q111"/>
    </row>
    <row r="112" spans="1:17" s="52" customFormat="1" ht="64" x14ac:dyDescent="0.2">
      <c r="A112" s="274">
        <f t="shared" si="6"/>
        <v>106</v>
      </c>
      <c r="B112" s="386" t="s">
        <v>1262</v>
      </c>
      <c r="C112" s="33" t="s">
        <v>1353</v>
      </c>
      <c r="D112" s="380" t="s">
        <v>1500</v>
      </c>
      <c r="E112" s="382"/>
      <c r="F112" s="53">
        <f t="shared" si="8"/>
        <v>106</v>
      </c>
      <c r="G112" s="95" t="str">
        <f>IF(((IFERROR(VLOOKUP($B112,'Main Table'!$I$10:$I$555,1,FALSE),"X"))="X"),"","X")</f>
        <v/>
      </c>
      <c r="H112" s="95" t="str">
        <f>IF(((IFERROR(VLOOKUP($B112,'Main Table'!$M$10:$M$555,1,FALSE),"X"))="X"),"","X")</f>
        <v/>
      </c>
      <c r="I112" s="95" t="str">
        <f>IF(((IFERROR(VLOOKUP($B112,'Main Table'!$Q$10:$Q$555,1,FALSE),"X"))="X"),"","X")</f>
        <v/>
      </c>
      <c r="J112" s="95" t="str">
        <f>IF(((IFERROR(VLOOKUP($B112,'Critical Micelle Conc. (CMC)'!$P$9:$P$533,1,FALSE),"X"))="X"),"","X")</f>
        <v/>
      </c>
      <c r="K112" s="95" t="str">
        <f>IF(((IFERROR(VLOOKUP($B112,pKa!$J$8:$J$579,1,FALSE),"X"))="X"),"","X")</f>
        <v/>
      </c>
      <c r="L112" s="95" t="str">
        <f>IF(((IFERROR(VLOOKUP($B112,'Vapor Pressure (VP)'!$N$9:$N$603,1,FALSE),"X"))="X"),"","X")</f>
        <v/>
      </c>
      <c r="M112" s="95" t="str">
        <f>IF(((IFERROR(VLOOKUP($B112,'Solubility (S)'!$P$9:$P$598,1,FALSE),"X"))="X"),"","X")</f>
        <v/>
      </c>
      <c r="N112" s="95" t="str">
        <f>IF(((IFERROR(VLOOKUP($B112,'Henry''s Constant (KH)'!$O$9:$O$527,1,FALSE),"X"))="X"),"","X")</f>
        <v/>
      </c>
      <c r="O112" s="95" t="str">
        <f>IF(((IFERROR(VLOOKUP($B112,'Log Koc'!$H$8:$H$553,1,FALSE),"X"))="X"),"","X")</f>
        <v/>
      </c>
      <c r="P112" s="95" t="str">
        <f>IF(((IFERROR(VLOOKUP($B112,Biotransformation!$T$23:$T$396,1,FALSE),"X"))="X"),"","X")</f>
        <v>X</v>
      </c>
      <c r="Q112"/>
    </row>
    <row r="113" spans="1:17" s="52" customFormat="1" ht="64" x14ac:dyDescent="0.2">
      <c r="A113" s="274">
        <f t="shared" si="6"/>
        <v>107</v>
      </c>
      <c r="B113" s="386" t="s">
        <v>1251</v>
      </c>
      <c r="C113" s="33" t="s">
        <v>1353</v>
      </c>
      <c r="D113" s="380" t="s">
        <v>1501</v>
      </c>
      <c r="E113" s="382"/>
      <c r="F113" s="53">
        <f t="shared" si="8"/>
        <v>107</v>
      </c>
      <c r="G113" s="95" t="str">
        <f>IF(((IFERROR(VLOOKUP($B113,'Main Table'!$I$10:$I$555,1,FALSE),"X"))="X"),"","X")</f>
        <v/>
      </c>
      <c r="H113" s="95" t="str">
        <f>IF(((IFERROR(VLOOKUP($B113,'Main Table'!$M$10:$M$555,1,FALSE),"X"))="X"),"","X")</f>
        <v/>
      </c>
      <c r="I113" s="95" t="str">
        <f>IF(((IFERROR(VLOOKUP($B113,'Main Table'!$Q$10:$Q$555,1,FALSE),"X"))="X"),"","X")</f>
        <v/>
      </c>
      <c r="J113" s="95" t="str">
        <f>IF(((IFERROR(VLOOKUP($B113,'Critical Micelle Conc. (CMC)'!$P$9:$P$533,1,FALSE),"X"))="X"),"","X")</f>
        <v/>
      </c>
      <c r="K113" s="95" t="str">
        <f>IF(((IFERROR(VLOOKUP($B113,pKa!$J$8:$J$579,1,FALSE),"X"))="X"),"","X")</f>
        <v/>
      </c>
      <c r="L113" s="95" t="str">
        <f>IF(((IFERROR(VLOOKUP($B113,'Vapor Pressure (VP)'!$N$9:$N$603,1,FALSE),"X"))="X"),"","X")</f>
        <v/>
      </c>
      <c r="M113" s="95" t="str">
        <f>IF(((IFERROR(VLOOKUP($B113,'Solubility (S)'!$P$9:$P$598,1,FALSE),"X"))="X"),"","X")</f>
        <v/>
      </c>
      <c r="N113" s="95" t="str">
        <f>IF(((IFERROR(VLOOKUP($B113,'Henry''s Constant (KH)'!$O$9:$O$527,1,FALSE),"X"))="X"),"","X")</f>
        <v/>
      </c>
      <c r="O113" s="95" t="str">
        <f>IF(((IFERROR(VLOOKUP($B113,'Log Koc'!$H$8:$H$553,1,FALSE),"X"))="X"),"","X")</f>
        <v/>
      </c>
      <c r="P113" s="95" t="str">
        <f>IF(((IFERROR(VLOOKUP($B113,Biotransformation!$T$23:$T$396,1,FALSE),"X"))="X"),"","X")</f>
        <v>X</v>
      </c>
      <c r="Q113"/>
    </row>
    <row r="114" spans="1:17" s="52" customFormat="1" ht="64" x14ac:dyDescent="0.2">
      <c r="A114" s="274">
        <f t="shared" si="6"/>
        <v>108</v>
      </c>
      <c r="B114" s="386" t="s">
        <v>150</v>
      </c>
      <c r="C114" s="33" t="s">
        <v>1355</v>
      </c>
      <c r="D114" s="380" t="s">
        <v>1502</v>
      </c>
      <c r="E114" s="382" t="s">
        <v>1503</v>
      </c>
      <c r="F114" s="53">
        <f t="shared" si="8"/>
        <v>108</v>
      </c>
      <c r="G114" s="95" t="str">
        <f>IF(((IFERROR(VLOOKUP($B114,'Main Table'!$I$10:$I$555,1,FALSE),"X"))="X"),"","X")</f>
        <v>X</v>
      </c>
      <c r="H114" s="95" t="str">
        <f>IF(((IFERROR(VLOOKUP($B114,'Main Table'!$M$10:$M$555,1,FALSE),"X"))="X"),"","X")</f>
        <v/>
      </c>
      <c r="I114" s="95" t="str">
        <f>IF(((IFERROR(VLOOKUP($B114,'Main Table'!$Q$10:$Q$555,1,FALSE),"X"))="X"),"","X")</f>
        <v>X</v>
      </c>
      <c r="J114" s="95" t="str">
        <f>IF(((IFERROR(VLOOKUP($B114,'Critical Micelle Conc. (CMC)'!$P$9:$P$533,1,FALSE),"X"))="X"),"","X")</f>
        <v/>
      </c>
      <c r="K114" s="95" t="str">
        <f>IF(((IFERROR(VLOOKUP($B114,pKa!$J$8:$J$579,1,FALSE),"X"))="X"),"","X")</f>
        <v/>
      </c>
      <c r="L114" s="95" t="str">
        <f>IF(((IFERROR(VLOOKUP($B114,'Vapor Pressure (VP)'!$N$9:$N$603,1,FALSE),"X"))="X"),"","X")</f>
        <v/>
      </c>
      <c r="M114" s="95" t="str">
        <f>IF(((IFERROR(VLOOKUP($B114,'Solubility (S)'!$P$9:$P$598,1,FALSE),"X"))="X"),"","X")</f>
        <v/>
      </c>
      <c r="N114" s="95" t="str">
        <f>IF(((IFERROR(VLOOKUP($B114,'Henry''s Constant (KH)'!$O$9:$O$527,1,FALSE),"X"))="X"),"","X")</f>
        <v/>
      </c>
      <c r="O114" s="95" t="str">
        <f>IF(((IFERROR(VLOOKUP($B114,'Log Koc'!$H$8:$H$553,1,FALSE),"X"))="X"),"","X")</f>
        <v/>
      </c>
      <c r="P114" s="95" t="str">
        <f>IF(((IFERROR(VLOOKUP($B114,Biotransformation!$T$23:$T$396,1,FALSE),"X"))="X"),"","X")</f>
        <v/>
      </c>
      <c r="Q114"/>
    </row>
    <row r="115" spans="1:17" s="52" customFormat="1" ht="64" x14ac:dyDescent="0.2">
      <c r="A115" s="274">
        <f t="shared" si="6"/>
        <v>109</v>
      </c>
      <c r="B115" s="386" t="s">
        <v>1306</v>
      </c>
      <c r="C115" s="33" t="s">
        <v>1353</v>
      </c>
      <c r="D115" s="380" t="s">
        <v>1504</v>
      </c>
      <c r="E115" s="382"/>
      <c r="F115" s="53">
        <f t="shared" si="8"/>
        <v>109</v>
      </c>
      <c r="G115" s="95" t="str">
        <f>IF(((IFERROR(VLOOKUP($B115,'Main Table'!$I$10:$I$555,1,FALSE),"X"))="X"),"","X")</f>
        <v/>
      </c>
      <c r="H115" s="95" t="str">
        <f>IF(((IFERROR(VLOOKUP($B115,'Main Table'!$M$10:$M$555,1,FALSE),"X"))="X"),"","X")</f>
        <v/>
      </c>
      <c r="I115" s="95" t="str">
        <f>IF(((IFERROR(VLOOKUP($B115,'Main Table'!$Q$10:$Q$555,1,FALSE),"X"))="X"),"","X")</f>
        <v/>
      </c>
      <c r="J115" s="95" t="str">
        <f>IF(((IFERROR(VLOOKUP($B115,'Critical Micelle Conc. (CMC)'!$P$9:$P$533,1,FALSE),"X"))="X"),"","X")</f>
        <v/>
      </c>
      <c r="K115" s="95" t="str">
        <f>IF(((IFERROR(VLOOKUP($B115,pKa!$J$8:$J$579,1,FALSE),"X"))="X"),"","X")</f>
        <v/>
      </c>
      <c r="L115" s="95" t="str">
        <f>IF(((IFERROR(VLOOKUP($B115,'Vapor Pressure (VP)'!$N$9:$N$603,1,FALSE),"X"))="X"),"","X")</f>
        <v/>
      </c>
      <c r="M115" s="95" t="str">
        <f>IF(((IFERROR(VLOOKUP($B115,'Solubility (S)'!$P$9:$P$598,1,FALSE),"X"))="X"),"","X")</f>
        <v/>
      </c>
      <c r="N115" s="95" t="str">
        <f>IF(((IFERROR(VLOOKUP($B115,'Henry''s Constant (KH)'!$O$9:$O$527,1,FALSE),"X"))="X"),"","X")</f>
        <v/>
      </c>
      <c r="O115" s="95" t="str">
        <f>IF(((IFERROR(VLOOKUP($B115,'Log Koc'!$H$8:$H$553,1,FALSE),"X"))="X"),"","X")</f>
        <v/>
      </c>
      <c r="P115" s="95" t="str">
        <f>IF(((IFERROR(VLOOKUP($B115,Biotransformation!$T$23:$T$396,1,FALSE),"X"))="X"),"","X")</f>
        <v>X</v>
      </c>
      <c r="Q115"/>
    </row>
    <row r="116" spans="1:17" s="52" customFormat="1" ht="64" x14ac:dyDescent="0.2">
      <c r="A116" s="274">
        <f t="shared" si="6"/>
        <v>110</v>
      </c>
      <c r="B116" s="386" t="s">
        <v>1302</v>
      </c>
      <c r="C116" s="33" t="s">
        <v>1353</v>
      </c>
      <c r="D116" s="380" t="s">
        <v>1505</v>
      </c>
      <c r="E116" s="382"/>
      <c r="F116" s="53">
        <f t="shared" si="8"/>
        <v>110</v>
      </c>
      <c r="G116" s="95" t="str">
        <f>IF(((IFERROR(VLOOKUP($B116,'Main Table'!$I$10:$I$555,1,FALSE),"X"))="X"),"","X")</f>
        <v/>
      </c>
      <c r="H116" s="95" t="str">
        <f>IF(((IFERROR(VLOOKUP($B116,'Main Table'!$M$10:$M$555,1,FALSE),"X"))="X"),"","X")</f>
        <v/>
      </c>
      <c r="I116" s="95" t="str">
        <f>IF(((IFERROR(VLOOKUP($B116,'Main Table'!$Q$10:$Q$555,1,FALSE),"X"))="X"),"","X")</f>
        <v/>
      </c>
      <c r="J116" s="95" t="str">
        <f>IF(((IFERROR(VLOOKUP($B116,'Critical Micelle Conc. (CMC)'!$P$9:$P$533,1,FALSE),"X"))="X"),"","X")</f>
        <v/>
      </c>
      <c r="K116" s="95" t="str">
        <f>IF(((IFERROR(VLOOKUP($B116,pKa!$J$8:$J$579,1,FALSE),"X"))="X"),"","X")</f>
        <v/>
      </c>
      <c r="L116" s="95" t="str">
        <f>IF(((IFERROR(VLOOKUP($B116,'Vapor Pressure (VP)'!$N$9:$N$603,1,FALSE),"X"))="X"),"","X")</f>
        <v/>
      </c>
      <c r="M116" s="95" t="str">
        <f>IF(((IFERROR(VLOOKUP($B116,'Solubility (S)'!$P$9:$P$598,1,FALSE),"X"))="X"),"","X")</f>
        <v/>
      </c>
      <c r="N116" s="95" t="str">
        <f>IF(((IFERROR(VLOOKUP($B116,'Henry''s Constant (KH)'!$O$9:$O$527,1,FALSE),"X"))="X"),"","X")</f>
        <v/>
      </c>
      <c r="O116" s="95" t="str">
        <f>IF(((IFERROR(VLOOKUP($B116,'Log Koc'!$H$8:$H$553,1,FALSE),"X"))="X"),"","X")</f>
        <v/>
      </c>
      <c r="P116" s="95" t="str">
        <f>IF(((IFERROR(VLOOKUP($B116,Biotransformation!$T$23:$T$396,1,FALSE),"X"))="X"),"","X")</f>
        <v>X</v>
      </c>
      <c r="Q116"/>
    </row>
    <row r="117" spans="1:17" s="52" customFormat="1" ht="48" x14ac:dyDescent="0.2">
      <c r="A117" s="274">
        <f t="shared" si="6"/>
        <v>111</v>
      </c>
      <c r="B117" s="386" t="s">
        <v>598</v>
      </c>
      <c r="C117" s="33" t="s">
        <v>1355</v>
      </c>
      <c r="D117" s="380" t="s">
        <v>1506</v>
      </c>
      <c r="E117" s="382"/>
      <c r="F117" s="53">
        <f t="shared" si="8"/>
        <v>111</v>
      </c>
      <c r="G117" s="95" t="str">
        <f>IF(((IFERROR(VLOOKUP($B117,'Main Table'!$I$10:$I$555,1,FALSE),"X"))="X"),"","X")</f>
        <v/>
      </c>
      <c r="H117" s="95" t="str">
        <f>IF(((IFERROR(VLOOKUP($B117,'Main Table'!$M$10:$M$555,1,FALSE),"X"))="X"),"","X")</f>
        <v/>
      </c>
      <c r="I117" s="95" t="str">
        <f>IF(((IFERROR(VLOOKUP($B117,'Main Table'!$Q$10:$Q$555,1,FALSE),"X"))="X"),"","X")</f>
        <v/>
      </c>
      <c r="J117" s="95" t="str">
        <f>IF(((IFERROR(VLOOKUP($B117,'Critical Micelle Conc. (CMC)'!$P$9:$P$533,1,FALSE),"X"))="X"),"","X")</f>
        <v/>
      </c>
      <c r="K117" s="95" t="str">
        <f>IF(((IFERROR(VLOOKUP($B117,pKa!$J$8:$J$579,1,FALSE),"X"))="X"),"","X")</f>
        <v/>
      </c>
      <c r="L117" s="95" t="str">
        <f>IF(((IFERROR(VLOOKUP($B117,'Vapor Pressure (VP)'!$N$9:$N$603,1,FALSE),"X"))="X"),"","X")</f>
        <v/>
      </c>
      <c r="M117" s="95" t="str">
        <f>IF(((IFERROR(VLOOKUP($B117,'Solubility (S)'!$P$9:$P$598,1,FALSE),"X"))="X"),"","X")</f>
        <v/>
      </c>
      <c r="N117" s="95" t="str">
        <f>IF(((IFERROR(VLOOKUP($B117,'Henry''s Constant (KH)'!$O$9:$O$527,1,FALSE),"X"))="X"),"","X")</f>
        <v>X</v>
      </c>
      <c r="O117" s="95" t="str">
        <f>IF(((IFERROR(VLOOKUP($B117,'Log Koc'!$H$8:$H$553,1,FALSE),"X"))="X"),"","X")</f>
        <v/>
      </c>
      <c r="P117" s="95" t="str">
        <f>IF(((IFERROR(VLOOKUP($B117,Biotransformation!$T$23:$T$396,1,FALSE),"X"))="X"),"","X")</f>
        <v/>
      </c>
      <c r="Q117"/>
    </row>
    <row r="118" spans="1:17" s="52" customFormat="1" ht="96" x14ac:dyDescent="0.2">
      <c r="A118" s="274">
        <f t="shared" si="6"/>
        <v>112</v>
      </c>
      <c r="B118" s="575" t="s">
        <v>62</v>
      </c>
      <c r="C118" s="33" t="s">
        <v>1353</v>
      </c>
      <c r="D118" s="45" t="s">
        <v>1507</v>
      </c>
      <c r="E118" s="34"/>
      <c r="F118" s="53">
        <f t="shared" si="8"/>
        <v>112</v>
      </c>
      <c r="G118" s="95" t="str">
        <f>IF(((IFERROR(VLOOKUP($B118,'Main Table'!$I$10:$I$555,1,FALSE),"X"))="X"),"","X")</f>
        <v/>
      </c>
      <c r="H118" s="95" t="str">
        <f>IF(((IFERROR(VLOOKUP($B118,'Main Table'!$M$10:$M$555,1,FALSE),"X"))="X"),"","X")</f>
        <v/>
      </c>
      <c r="I118" s="95" t="str">
        <f>IF(((IFERROR(VLOOKUP($B118,'Main Table'!$Q$10:$Q$555,1,FALSE),"X"))="X"),"","X")</f>
        <v>X</v>
      </c>
      <c r="J118" s="95" t="str">
        <f>IF(((IFERROR(VLOOKUP($B118,'Critical Micelle Conc. (CMC)'!$P$9:$P$533,1,FALSE),"X"))="X"),"","X")</f>
        <v/>
      </c>
      <c r="K118" s="95" t="str">
        <f>IF(((IFERROR(VLOOKUP($B118,pKa!$J$8:$J$579,1,FALSE),"X"))="X"),"","X")</f>
        <v/>
      </c>
      <c r="L118" s="95" t="str">
        <f>IF(((IFERROR(VLOOKUP($B118,'Vapor Pressure (VP)'!$N$9:$N$603,1,FALSE),"X"))="X"),"","X")</f>
        <v>X</v>
      </c>
      <c r="M118" s="95" t="str">
        <f>IF(((IFERROR(VLOOKUP($B118,'Solubility (S)'!$P$9:$P$598,1,FALSE),"X"))="X"),"","X")</f>
        <v/>
      </c>
      <c r="N118" s="95" t="str">
        <f>IF(((IFERROR(VLOOKUP($B118,'Henry''s Constant (KH)'!$O$9:$O$527,1,FALSE),"X"))="X"),"","X")</f>
        <v/>
      </c>
      <c r="O118" s="95" t="str">
        <f>IF(((IFERROR(VLOOKUP($B118,'Log Koc'!$H$8:$H$553,1,FALSE),"X"))="X"),"","X")</f>
        <v/>
      </c>
      <c r="P118" s="95" t="str">
        <f>IF(((IFERROR(VLOOKUP($B118,Biotransformation!$T$23:$T$396,1,FALSE),"X"))="X"),"","X")</f>
        <v/>
      </c>
      <c r="Q118"/>
    </row>
    <row r="119" spans="1:17" s="52" customFormat="1" ht="64" x14ac:dyDescent="0.2">
      <c r="A119" s="274">
        <f t="shared" si="6"/>
        <v>113</v>
      </c>
      <c r="B119" s="33" t="s">
        <v>81</v>
      </c>
      <c r="C119" s="33" t="s">
        <v>1353</v>
      </c>
      <c r="D119" s="34" t="s">
        <v>1508</v>
      </c>
      <c r="E119" s="34"/>
      <c r="F119" s="53">
        <f t="shared" si="8"/>
        <v>113</v>
      </c>
      <c r="G119" s="95" t="str">
        <f>IF(((IFERROR(VLOOKUP($B119,'Main Table'!$I$10:$I$555,1,FALSE),"X"))="X"),"","X")</f>
        <v/>
      </c>
      <c r="H119" s="95" t="str">
        <f>IF(((IFERROR(VLOOKUP($B119,'Main Table'!$M$10:$M$555,1,FALSE),"X"))="X"),"","X")</f>
        <v>X</v>
      </c>
      <c r="I119" s="95" t="str">
        <f>IF(((IFERROR(VLOOKUP($B119,'Main Table'!$Q$10:$Q$555,1,FALSE),"X"))="X"),"","X")</f>
        <v/>
      </c>
      <c r="J119" s="95" t="str">
        <f>IF(((IFERROR(VLOOKUP($B119,'Critical Micelle Conc. (CMC)'!$P$9:$P$533,1,FALSE),"X"))="X"),"","X")</f>
        <v>X</v>
      </c>
      <c r="K119" s="95" t="str">
        <f>IF(((IFERROR(VLOOKUP($B119,pKa!$J$8:$J$579,1,FALSE),"X"))="X"),"","X")</f>
        <v/>
      </c>
      <c r="L119" s="95" t="str">
        <f>IF(((IFERROR(VLOOKUP($B119,'Vapor Pressure (VP)'!$N$9:$N$603,1,FALSE),"X"))="X"),"","X")</f>
        <v/>
      </c>
      <c r="M119" s="95" t="str">
        <f>IF(((IFERROR(VLOOKUP($B119,'Solubility (S)'!$P$9:$P$598,1,FALSE),"X"))="X"),"","X")</f>
        <v/>
      </c>
      <c r="N119" s="95" t="str">
        <f>IF(((IFERROR(VLOOKUP($B119,'Henry''s Constant (KH)'!$O$9:$O$527,1,FALSE),"X"))="X"),"","X")</f>
        <v/>
      </c>
      <c r="O119" s="95" t="str">
        <f>IF(((IFERROR(VLOOKUP($B119,'Log Koc'!$H$8:$H$553,1,FALSE),"X"))="X"),"","X")</f>
        <v/>
      </c>
      <c r="P119" s="95" t="str">
        <f>IF(((IFERROR(VLOOKUP($B119,Biotransformation!$T$23:$T$396,1,FALSE),"X"))="X"),"","X")</f>
        <v/>
      </c>
      <c r="Q119"/>
    </row>
    <row r="120" spans="1:17" s="52" customFormat="1" ht="80" x14ac:dyDescent="0.2">
      <c r="A120" s="274">
        <f t="shared" si="6"/>
        <v>114</v>
      </c>
      <c r="B120" s="33" t="s">
        <v>577</v>
      </c>
      <c r="C120" s="33" t="s">
        <v>1353</v>
      </c>
      <c r="D120" s="34" t="s">
        <v>1509</v>
      </c>
      <c r="E120" s="34"/>
      <c r="F120" s="53">
        <f t="shared" si="8"/>
        <v>114</v>
      </c>
      <c r="G120" s="95" t="str">
        <f>IF(((IFERROR(VLOOKUP($B120,'Main Table'!$I$10:$I$555,1,FALSE),"X"))="X"),"","X")</f>
        <v/>
      </c>
      <c r="H120" s="95" t="str">
        <f>IF(((IFERROR(VLOOKUP($B120,'Main Table'!$M$10:$M$555,1,FALSE),"X"))="X"),"","X")</f>
        <v/>
      </c>
      <c r="I120" s="95" t="str">
        <f>IF(((IFERROR(VLOOKUP($B120,'Main Table'!$Q$10:$Q$555,1,FALSE),"X"))="X"),"","X")</f>
        <v/>
      </c>
      <c r="J120" s="95" t="str">
        <f>IF(((IFERROR(VLOOKUP($B120,'Critical Micelle Conc. (CMC)'!$P$9:$P$533,1,FALSE),"X"))="X"),"","X")</f>
        <v/>
      </c>
      <c r="K120" s="95" t="str">
        <f>IF(((IFERROR(VLOOKUP($B120,pKa!$J$8:$J$579,1,FALSE),"X"))="X"),"","X")</f>
        <v/>
      </c>
      <c r="L120" s="95" t="str">
        <f>IF(((IFERROR(VLOOKUP($B120,'Vapor Pressure (VP)'!$N$9:$N$603,1,FALSE),"X"))="X"),"","X")</f>
        <v>X</v>
      </c>
      <c r="M120" s="95" t="str">
        <f>IF(((IFERROR(VLOOKUP($B120,'Solubility (S)'!$P$9:$P$598,1,FALSE),"X"))="X"),"","X")</f>
        <v/>
      </c>
      <c r="N120" s="95" t="str">
        <f>IF(((IFERROR(VLOOKUP($B120,'Henry''s Constant (KH)'!$O$9:$O$527,1,FALSE),"X"))="X"),"","X")</f>
        <v/>
      </c>
      <c r="O120" s="95" t="str">
        <f>IF(((IFERROR(VLOOKUP($B120,'Log Koc'!$H$8:$H$553,1,FALSE),"X"))="X"),"","X")</f>
        <v/>
      </c>
      <c r="P120" s="95" t="str">
        <f>IF(((IFERROR(VLOOKUP($B120,Biotransformation!$T$23:$T$396,1,FALSE),"X"))="X"),"","X")</f>
        <v/>
      </c>
      <c r="Q120"/>
    </row>
    <row r="121" spans="1:17" s="52" customFormat="1" x14ac:dyDescent="0.2">
      <c r="A121" s="274">
        <f t="shared" si="6"/>
        <v>115</v>
      </c>
      <c r="B121" s="33" t="s">
        <v>111</v>
      </c>
      <c r="C121" s="33" t="s">
        <v>1355</v>
      </c>
      <c r="D121" s="34" t="s">
        <v>1510</v>
      </c>
      <c r="E121" s="34"/>
      <c r="F121" s="53">
        <f t="shared" si="8"/>
        <v>115</v>
      </c>
      <c r="G121" s="95" t="str">
        <f>IF(((IFERROR(VLOOKUP($B121,'Main Table'!$I$10:$I$555,1,FALSE),"X"))="X"),"","X")</f>
        <v/>
      </c>
      <c r="H121" s="95" t="str">
        <f>IF(((IFERROR(VLOOKUP($B121,'Main Table'!$M$10:$M$555,1,FALSE),"X"))="X"),"","X")</f>
        <v>X</v>
      </c>
      <c r="I121" s="95" t="str">
        <f>IF(((IFERROR(VLOOKUP($B121,'Main Table'!$Q$10:$Q$555,1,FALSE),"X"))="X"),"","X")</f>
        <v>X</v>
      </c>
      <c r="J121" s="95" t="str">
        <f>IF(((IFERROR(VLOOKUP($B121,'Critical Micelle Conc. (CMC)'!$P$9:$P$533,1,FALSE),"X"))="X"),"","X")</f>
        <v/>
      </c>
      <c r="K121" s="95" t="str">
        <f>IF(((IFERROR(VLOOKUP($B121,pKa!$J$8:$J$579,1,FALSE),"X"))="X"),"","X")</f>
        <v/>
      </c>
      <c r="L121" s="95" t="str">
        <f>IF(((IFERROR(VLOOKUP($B121,'Vapor Pressure (VP)'!$N$9:$N$603,1,FALSE),"X"))="X"),"","X")</f>
        <v/>
      </c>
      <c r="M121" s="95" t="str">
        <f>IF(((IFERROR(VLOOKUP($B121,'Solubility (S)'!$P$9:$P$598,1,FALSE),"X"))="X"),"","X")</f>
        <v/>
      </c>
      <c r="N121" s="95" t="str">
        <f>IF(((IFERROR(VLOOKUP($B121,'Henry''s Constant (KH)'!$O$9:$O$527,1,FALSE),"X"))="X"),"","X")</f>
        <v/>
      </c>
      <c r="O121" s="95" t="str">
        <f>IF(((IFERROR(VLOOKUP($B121,'Log Koc'!$H$8:$H$553,1,FALSE),"X"))="X"),"","X")</f>
        <v/>
      </c>
      <c r="P121" s="95" t="str">
        <f>IF(((IFERROR(VLOOKUP($B121,Biotransformation!$T$23:$T$396,1,FALSE),"X"))="X"),"","X")</f>
        <v/>
      </c>
      <c r="Q121"/>
    </row>
    <row r="122" spans="1:17" s="52" customFormat="1" ht="80" x14ac:dyDescent="0.2">
      <c r="A122" s="274">
        <f t="shared" si="6"/>
        <v>116</v>
      </c>
      <c r="B122" s="33" t="s">
        <v>566</v>
      </c>
      <c r="C122" s="33" t="s">
        <v>1355</v>
      </c>
      <c r="D122" s="34" t="s">
        <v>1511</v>
      </c>
      <c r="E122" s="34"/>
      <c r="F122" s="53">
        <f t="shared" si="8"/>
        <v>116</v>
      </c>
      <c r="G122" s="95" t="str">
        <f>IF(((IFERROR(VLOOKUP($B122,'Main Table'!$I$10:$I$555,1,FALSE),"X"))="X"),"","X")</f>
        <v/>
      </c>
      <c r="H122" s="95" t="str">
        <f>IF(((IFERROR(VLOOKUP($B122,'Main Table'!$M$10:$M$555,1,FALSE),"X"))="X"),"","X")</f>
        <v/>
      </c>
      <c r="I122" s="95" t="str">
        <f>IF(((IFERROR(VLOOKUP($B122,'Main Table'!$Q$10:$Q$555,1,FALSE),"X"))="X"),"","X")</f>
        <v/>
      </c>
      <c r="J122" s="95" t="str">
        <f>IF(((IFERROR(VLOOKUP($B122,'Critical Micelle Conc. (CMC)'!$P$9:$P$533,1,FALSE),"X"))="X"),"","X")</f>
        <v/>
      </c>
      <c r="K122" s="95" t="str">
        <f>IF(((IFERROR(VLOOKUP($B122,pKa!$J$8:$J$579,1,FALSE),"X"))="X"),"","X")</f>
        <v>X</v>
      </c>
      <c r="L122" s="95" t="str">
        <f>IF(((IFERROR(VLOOKUP($B122,'Vapor Pressure (VP)'!$N$9:$N$603,1,FALSE),"X"))="X"),"","X")</f>
        <v>X</v>
      </c>
      <c r="M122" s="95" t="str">
        <f>IF(((IFERROR(VLOOKUP($B122,'Solubility (S)'!$P$9:$P$598,1,FALSE),"X"))="X"),"","X")</f>
        <v/>
      </c>
      <c r="N122" s="95" t="str">
        <f>IF(((IFERROR(VLOOKUP($B122,'Henry''s Constant (KH)'!$O$9:$O$527,1,FALSE),"X"))="X"),"","X")</f>
        <v/>
      </c>
      <c r="O122" s="95" t="str">
        <f>IF(((IFERROR(VLOOKUP($B122,'Log Koc'!$H$8:$H$553,1,FALSE),"X"))="X"),"","X")</f>
        <v/>
      </c>
      <c r="P122" s="95" t="str">
        <f>IF(((IFERROR(VLOOKUP($B122,Biotransformation!$T$23:$T$396,1,FALSE),"X"))="X"),"","X")</f>
        <v/>
      </c>
      <c r="Q122"/>
    </row>
    <row r="123" spans="1:17" s="52" customFormat="1" ht="80" x14ac:dyDescent="0.2">
      <c r="A123" s="274">
        <f t="shared" si="6"/>
        <v>117</v>
      </c>
      <c r="B123" s="575" t="s">
        <v>644</v>
      </c>
      <c r="C123" s="33" t="s">
        <v>1353</v>
      </c>
      <c r="D123" s="576" t="s">
        <v>1512</v>
      </c>
      <c r="E123" s="576"/>
      <c r="F123" s="53">
        <f t="shared" si="8"/>
        <v>117</v>
      </c>
      <c r="G123" s="95" t="str">
        <f>IF(((IFERROR(VLOOKUP($B123,'Main Table'!$I$10:$I$555,1,FALSE),"X"))="X"),"","X")</f>
        <v/>
      </c>
      <c r="H123" s="95" t="str">
        <f>IF(((IFERROR(VLOOKUP($B123,'Main Table'!$M$10:$M$555,1,FALSE),"X"))="X"),"","X")</f>
        <v/>
      </c>
      <c r="I123" s="95" t="str">
        <f>IF(((IFERROR(VLOOKUP($B123,'Main Table'!$Q$10:$Q$555,1,FALSE),"X"))="X"),"","X")</f>
        <v/>
      </c>
      <c r="J123" s="95" t="str">
        <f>IF(((IFERROR(VLOOKUP($B123,'Critical Micelle Conc. (CMC)'!$P$9:$P$533,1,FALSE),"X"))="X"),"","X")</f>
        <v>X</v>
      </c>
      <c r="K123" s="95" t="str">
        <f>IF(((IFERROR(VLOOKUP($B123,pKa!$J$8:$J$579,1,FALSE),"X"))="X"),"","X")</f>
        <v/>
      </c>
      <c r="L123" s="95" t="str">
        <f>IF(((IFERROR(VLOOKUP($B123,'Vapor Pressure (VP)'!$N$9:$N$603,1,FALSE),"X"))="X"),"","X")</f>
        <v/>
      </c>
      <c r="M123" s="95" t="str">
        <f>IF(((IFERROR(VLOOKUP($B123,'Solubility (S)'!$P$9:$P$598,1,FALSE),"X"))="X"),"","X")</f>
        <v/>
      </c>
      <c r="N123" s="95" t="str">
        <f>IF(((IFERROR(VLOOKUP($B123,'Henry''s Constant (KH)'!$O$9:$O$527,1,FALSE),"X"))="X"),"","X")</f>
        <v/>
      </c>
      <c r="O123" s="95" t="str">
        <f>IF(((IFERROR(VLOOKUP($B123,'Log Koc'!$H$8:$H$553,1,FALSE),"X"))="X"),"","X")</f>
        <v/>
      </c>
      <c r="P123" s="95" t="str">
        <f>IF(((IFERROR(VLOOKUP($B123,Biotransformation!$T$23:$T$396,1,FALSE),"X"))="X"),"","X")</f>
        <v/>
      </c>
      <c r="Q123" s="532"/>
    </row>
    <row r="124" spans="1:17" s="52" customFormat="1" ht="80" x14ac:dyDescent="0.2">
      <c r="A124" s="274">
        <f t="shared" si="6"/>
        <v>118</v>
      </c>
      <c r="B124" s="575" t="s">
        <v>46</v>
      </c>
      <c r="C124" s="33" t="s">
        <v>1353</v>
      </c>
      <c r="D124" s="576" t="s">
        <v>1513</v>
      </c>
      <c r="E124" s="577" t="s">
        <v>1372</v>
      </c>
      <c r="F124" s="53">
        <f t="shared" si="8"/>
        <v>118</v>
      </c>
      <c r="G124" s="95" t="str">
        <f>IF(((IFERROR(VLOOKUP($B124,'Main Table'!$I$10:$I$555,1,FALSE),"X"))="X"),"","X")</f>
        <v>X</v>
      </c>
      <c r="H124" s="95" t="str">
        <f>IF(((IFERROR(VLOOKUP($B124,'Main Table'!$M$10:$M$555,1,FALSE),"X"))="X"),"","X")</f>
        <v/>
      </c>
      <c r="I124" s="95" t="str">
        <f>IF(((IFERROR(VLOOKUP($B124,'Main Table'!$Q$10:$Q$555,1,FALSE),"X"))="X"),"","X")</f>
        <v/>
      </c>
      <c r="J124" s="95" t="str">
        <f>IF(((IFERROR(VLOOKUP($B124,'Critical Micelle Conc. (CMC)'!$P$9:$P$533,1,FALSE),"X"))="X"),"","X")</f>
        <v/>
      </c>
      <c r="K124" s="95" t="str">
        <f>IF(((IFERROR(VLOOKUP($B124,pKa!$J$8:$J$579,1,FALSE),"X"))="X"),"","X")</f>
        <v/>
      </c>
      <c r="L124" s="95" t="str">
        <f>IF(((IFERROR(VLOOKUP($B124,'Vapor Pressure (VP)'!$N$9:$N$603,1,FALSE),"X"))="X"),"","X")</f>
        <v>X</v>
      </c>
      <c r="M124" s="95" t="str">
        <f>IF(((IFERROR(VLOOKUP($B124,'Solubility (S)'!$P$9:$P$598,1,FALSE),"X"))="X"),"","X")</f>
        <v/>
      </c>
      <c r="N124" s="95" t="str">
        <f>IF(((IFERROR(VLOOKUP($B124,'Henry''s Constant (KH)'!$O$9:$O$527,1,FALSE),"X"))="X"),"","X")</f>
        <v/>
      </c>
      <c r="O124" s="95" t="str">
        <f>IF(((IFERROR(VLOOKUP($B124,'Log Koc'!$H$8:$H$553,1,FALSE),"X"))="X"),"","X")</f>
        <v/>
      </c>
      <c r="P124" s="95" t="str">
        <f>IF(((IFERROR(VLOOKUP($B124,Biotransformation!$T$23:$T$396,1,FALSE),"X"))="X"),"","X")</f>
        <v/>
      </c>
      <c r="Q124"/>
    </row>
    <row r="125" spans="1:17" s="52" customFormat="1" ht="112" x14ac:dyDescent="0.2">
      <c r="A125" s="274">
        <f t="shared" si="6"/>
        <v>119</v>
      </c>
      <c r="B125" s="575" t="s">
        <v>572</v>
      </c>
      <c r="C125" s="33" t="s">
        <v>1353</v>
      </c>
      <c r="D125" s="576" t="s">
        <v>1514</v>
      </c>
      <c r="E125" s="577"/>
      <c r="F125" s="53">
        <f t="shared" si="8"/>
        <v>119</v>
      </c>
      <c r="G125" s="95" t="str">
        <f>IF(((IFERROR(VLOOKUP($B125,'Main Table'!$I$10:$I$555,1,FALSE),"X"))="X"),"","X")</f>
        <v/>
      </c>
      <c r="H125" s="95" t="str">
        <f>IF(((IFERROR(VLOOKUP($B125,'Main Table'!$M$10:$M$555,1,FALSE),"X"))="X"),"","X")</f>
        <v/>
      </c>
      <c r="I125" s="95" t="str">
        <f>IF(((IFERROR(VLOOKUP($B125,'Main Table'!$Q$10:$Q$555,1,FALSE),"X"))="X"),"","X")</f>
        <v/>
      </c>
      <c r="J125" s="95" t="str">
        <f>IF(((IFERROR(VLOOKUP($B125,'Critical Micelle Conc. (CMC)'!$P$9:$P$533,1,FALSE),"X"))="X"),"","X")</f>
        <v/>
      </c>
      <c r="K125" s="95" t="str">
        <f>IF(((IFERROR(VLOOKUP($B125,pKa!$J$8:$J$579,1,FALSE),"X"))="X"),"","X")</f>
        <v/>
      </c>
      <c r="L125" s="95" t="str">
        <f>IF(((IFERROR(VLOOKUP($B125,'Vapor Pressure (VP)'!$N$9:$N$603,1,FALSE),"X"))="X"),"","X")</f>
        <v>X</v>
      </c>
      <c r="M125" s="95" t="str">
        <f>IF(((IFERROR(VLOOKUP($B125,'Solubility (S)'!$P$9:$P$598,1,FALSE),"X"))="X"),"","X")</f>
        <v/>
      </c>
      <c r="N125" s="95" t="str">
        <f>IF(((IFERROR(VLOOKUP($B125,'Henry''s Constant (KH)'!$O$9:$O$527,1,FALSE),"X"))="X"),"","X")</f>
        <v/>
      </c>
      <c r="O125" s="95" t="str">
        <f>IF(((IFERROR(VLOOKUP($B125,'Log Koc'!$H$8:$H$553,1,FALSE),"X"))="X"),"","X")</f>
        <v/>
      </c>
      <c r="P125" s="95" t="str">
        <f>IF(((IFERROR(VLOOKUP($B125,Biotransformation!$T$23:$T$396,1,FALSE),"X"))="X"),"","X")</f>
        <v/>
      </c>
      <c r="Q125"/>
    </row>
    <row r="126" spans="1:17" s="52" customFormat="1" ht="64" x14ac:dyDescent="0.2">
      <c r="A126" s="274">
        <f t="shared" si="6"/>
        <v>120</v>
      </c>
      <c r="B126" s="33" t="s">
        <v>952</v>
      </c>
      <c r="C126" s="33" t="s">
        <v>1353</v>
      </c>
      <c r="D126" s="34" t="s">
        <v>1515</v>
      </c>
      <c r="E126" s="34"/>
      <c r="F126" s="53">
        <f t="shared" si="8"/>
        <v>120</v>
      </c>
      <c r="G126" s="95" t="str">
        <f>IF(((IFERROR(VLOOKUP($B126,'Main Table'!$I$10:$I$555,1,FALSE),"X"))="X"),"","X")</f>
        <v/>
      </c>
      <c r="H126" s="95" t="str">
        <f>IF(((IFERROR(VLOOKUP($B126,'Main Table'!$M$10:$M$555,1,FALSE),"X"))="X"),"","X")</f>
        <v/>
      </c>
      <c r="I126" s="95" t="str">
        <f>IF(((IFERROR(VLOOKUP($B126,'Main Table'!$Q$10:$Q$555,1,FALSE),"X"))="X"),"","X")</f>
        <v/>
      </c>
      <c r="J126" s="95" t="str">
        <f>IF(((IFERROR(VLOOKUP($B126,'Critical Micelle Conc. (CMC)'!$P$9:$P$533,1,FALSE),"X"))="X"),"","X")</f>
        <v/>
      </c>
      <c r="K126" s="95" t="str">
        <f>IF(((IFERROR(VLOOKUP($B126,pKa!$J$8:$J$579,1,FALSE),"X"))="X"),"","X")</f>
        <v>X</v>
      </c>
      <c r="L126" s="95" t="str">
        <f>IF(((IFERROR(VLOOKUP($B126,'Vapor Pressure (VP)'!$N$9:$N$603,1,FALSE),"X"))="X"),"","X")</f>
        <v/>
      </c>
      <c r="M126" s="95" t="str">
        <f>IF(((IFERROR(VLOOKUP($B126,'Solubility (S)'!$P$9:$P$598,1,FALSE),"X"))="X"),"","X")</f>
        <v/>
      </c>
      <c r="N126" s="95" t="str">
        <f>IF(((IFERROR(VLOOKUP($B126,'Henry''s Constant (KH)'!$O$9:$O$527,1,FALSE),"X"))="X"),"","X")</f>
        <v/>
      </c>
      <c r="O126" s="95" t="str">
        <f>IF(((IFERROR(VLOOKUP($B126,'Log Koc'!$H$8:$H$553,1,FALSE),"X"))="X"),"","X")</f>
        <v/>
      </c>
      <c r="P126" s="95" t="str">
        <f>IF(((IFERROR(VLOOKUP($B126,Biotransformation!$T$23:$T$396,1,FALSE),"X"))="X"),"","X")</f>
        <v/>
      </c>
      <c r="Q126"/>
    </row>
    <row r="127" spans="1:17" s="52" customFormat="1" ht="64" x14ac:dyDescent="0.2">
      <c r="A127" s="274">
        <f t="shared" si="6"/>
        <v>121</v>
      </c>
      <c r="B127" s="33" t="s">
        <v>578</v>
      </c>
      <c r="C127" s="33" t="s">
        <v>1353</v>
      </c>
      <c r="D127" s="34" t="s">
        <v>1516</v>
      </c>
      <c r="E127" s="34"/>
      <c r="F127" s="53">
        <f t="shared" si="8"/>
        <v>121</v>
      </c>
      <c r="G127" s="95" t="str">
        <f>IF(((IFERROR(VLOOKUP($B127,'Main Table'!$I$10:$I$555,1,FALSE),"X"))="X"),"","X")</f>
        <v/>
      </c>
      <c r="H127" s="95" t="str">
        <f>IF(((IFERROR(VLOOKUP($B127,'Main Table'!$M$10:$M$555,1,FALSE),"X"))="X"),"","X")</f>
        <v/>
      </c>
      <c r="I127" s="95" t="str">
        <f>IF(((IFERROR(VLOOKUP($B127,'Main Table'!$Q$10:$Q$555,1,FALSE),"X"))="X"),"","X")</f>
        <v/>
      </c>
      <c r="J127" s="95" t="str">
        <f>IF(((IFERROR(VLOOKUP($B127,'Critical Micelle Conc. (CMC)'!$P$9:$P$533,1,FALSE),"X"))="X"),"","X")</f>
        <v/>
      </c>
      <c r="K127" s="95" t="str">
        <f>IF(((IFERROR(VLOOKUP($B127,pKa!$J$8:$J$579,1,FALSE),"X"))="X"),"","X")</f>
        <v/>
      </c>
      <c r="L127" s="95" t="str">
        <f>IF(((IFERROR(VLOOKUP($B127,'Vapor Pressure (VP)'!$N$9:$N$603,1,FALSE),"X"))="X"),"","X")</f>
        <v>X</v>
      </c>
      <c r="M127" s="95" t="str">
        <f>IF(((IFERROR(VLOOKUP($B127,'Solubility (S)'!$P$9:$P$598,1,FALSE),"X"))="X"),"","X")</f>
        <v/>
      </c>
      <c r="N127" s="95" t="str">
        <f>IF(((IFERROR(VLOOKUP($B127,'Henry''s Constant (KH)'!$O$9:$O$527,1,FALSE),"X"))="X"),"","X")</f>
        <v/>
      </c>
      <c r="O127" s="95" t="str">
        <f>IF(((IFERROR(VLOOKUP($B127,'Log Koc'!$H$8:$H$553,1,FALSE),"X"))="X"),"","X")</f>
        <v/>
      </c>
      <c r="P127" s="95" t="str">
        <f>IF(((IFERROR(VLOOKUP($B127,Biotransformation!$T$23:$T$396,1,FALSE),"X"))="X"),"","X")</f>
        <v/>
      </c>
      <c r="Q127"/>
    </row>
    <row r="128" spans="1:17" s="52" customFormat="1" ht="80" x14ac:dyDescent="0.2">
      <c r="A128" s="274">
        <f t="shared" si="6"/>
        <v>122</v>
      </c>
      <c r="B128" s="386" t="s">
        <v>1105</v>
      </c>
      <c r="C128" s="33" t="s">
        <v>1353</v>
      </c>
      <c r="D128" s="380" t="s">
        <v>1517</v>
      </c>
      <c r="E128" s="382" t="s">
        <v>1518</v>
      </c>
      <c r="F128" s="53">
        <f t="shared" si="8"/>
        <v>122</v>
      </c>
      <c r="G128" s="95" t="str">
        <f>IF(((IFERROR(VLOOKUP($B128,'Main Table'!$I$10:$I$555,1,FALSE),"X"))="X"),"","X")</f>
        <v/>
      </c>
      <c r="H128" s="95" t="str">
        <f>IF(((IFERROR(VLOOKUP($B128,'Main Table'!$M$10:$M$555,1,FALSE),"X"))="X"),"","X")</f>
        <v/>
      </c>
      <c r="I128" s="95" t="str">
        <f>IF(((IFERROR(VLOOKUP($B128,'Main Table'!$Q$10:$Q$555,1,FALSE),"X"))="X"),"","X")</f>
        <v/>
      </c>
      <c r="J128" s="95" t="str">
        <f>IF(((IFERROR(VLOOKUP($B128,'Critical Micelle Conc. (CMC)'!$P$9:$P$533,1,FALSE),"X"))="X"),"","X")</f>
        <v/>
      </c>
      <c r="K128" s="95" t="str">
        <f>IF(((IFERROR(VLOOKUP($B128,pKa!$J$8:$J$579,1,FALSE),"X"))="X"),"","X")</f>
        <v/>
      </c>
      <c r="L128" s="95" t="str">
        <f>IF(((IFERROR(VLOOKUP($B128,'Vapor Pressure (VP)'!$N$9:$N$603,1,FALSE),"X"))="X"),"","X")</f>
        <v/>
      </c>
      <c r="M128" s="95" t="str">
        <f>IF(((IFERROR(VLOOKUP($B128,'Solubility (S)'!$P$9:$P$598,1,FALSE),"X"))="X"),"","X")</f>
        <v/>
      </c>
      <c r="N128" s="95" t="str">
        <f>IF(((IFERROR(VLOOKUP($B128,'Henry''s Constant (KH)'!$O$9:$O$527,1,FALSE),"X"))="X"),"","X")</f>
        <v/>
      </c>
      <c r="O128" s="95" t="str">
        <f>IF(((IFERROR(VLOOKUP($B128,'Log Koc'!$H$8:$H$553,1,FALSE),"X"))="X"),"","X")</f>
        <v/>
      </c>
      <c r="P128" s="95" t="str">
        <f>IF(((IFERROR(VLOOKUP($B128,Biotransformation!$T$23:$T$396,1,FALSE),"X"))="X"),"","X")</f>
        <v>X</v>
      </c>
      <c r="Q128"/>
    </row>
    <row r="129" spans="1:17" s="52" customFormat="1" ht="96" x14ac:dyDescent="0.2">
      <c r="A129" s="274">
        <f t="shared" si="6"/>
        <v>123</v>
      </c>
      <c r="B129" s="33" t="s">
        <v>384</v>
      </c>
      <c r="C129" s="33" t="s">
        <v>1355</v>
      </c>
      <c r="D129" s="34" t="s">
        <v>1519</v>
      </c>
      <c r="E129" s="34" t="s">
        <v>1520</v>
      </c>
      <c r="F129" s="53">
        <f t="shared" si="8"/>
        <v>123</v>
      </c>
      <c r="G129" s="95" t="str">
        <f>IF(((IFERROR(VLOOKUP($B129,'Main Table'!$I$10:$I$555,1,FALSE),"X"))="X"),"","X")</f>
        <v/>
      </c>
      <c r="H129" s="95" t="str">
        <f>IF(((IFERROR(VLOOKUP($B129,'Main Table'!$M$10:$M$555,1,FALSE),"X"))="X"),"","X")</f>
        <v>X</v>
      </c>
      <c r="I129" s="95" t="str">
        <f>IF(((IFERROR(VLOOKUP($B129,'Main Table'!$Q$10:$Q$555,1,FALSE),"X"))="X"),"","X")</f>
        <v>X</v>
      </c>
      <c r="J129" s="95" t="str">
        <f>IF(((IFERROR(VLOOKUP($B129,'Critical Micelle Conc. (CMC)'!$P$9:$P$533,1,FALSE),"X"))="X"),"","X")</f>
        <v/>
      </c>
      <c r="K129" s="95" t="str">
        <f>IF(((IFERROR(VLOOKUP($B129,pKa!$J$8:$J$579,1,FALSE),"X"))="X"),"","X")</f>
        <v/>
      </c>
      <c r="L129" s="95" t="str">
        <f>IF(((IFERROR(VLOOKUP($B129,'Vapor Pressure (VP)'!$N$9:$N$603,1,FALSE),"X"))="X"),"","X")</f>
        <v>X</v>
      </c>
      <c r="M129" s="95" t="str">
        <f>IF(((IFERROR(VLOOKUP($B129,'Solubility (S)'!$P$9:$P$598,1,FALSE),"X"))="X"),"","X")</f>
        <v>X</v>
      </c>
      <c r="N129" s="95" t="str">
        <f>IF(((IFERROR(VLOOKUP($B129,'Henry''s Constant (KH)'!$O$9:$O$527,1,FALSE),"X"))="X"),"","X")</f>
        <v/>
      </c>
      <c r="O129" s="95" t="str">
        <f>IF(((IFERROR(VLOOKUP($B129,'Log Koc'!$H$8:$H$553,1,FALSE),"X"))="X"),"","X")</f>
        <v>X</v>
      </c>
      <c r="P129" s="95" t="str">
        <f>IF(((IFERROR(VLOOKUP($B129,Biotransformation!$T$23:$T$396,1,FALSE),"X"))="X"),"","X")</f>
        <v/>
      </c>
      <c r="Q129"/>
    </row>
    <row r="130" spans="1:17" s="52" customFormat="1" ht="64" x14ac:dyDescent="0.2">
      <c r="A130" s="274">
        <f t="shared" si="6"/>
        <v>124</v>
      </c>
      <c r="B130" s="576" t="s">
        <v>642</v>
      </c>
      <c r="C130" s="33" t="s">
        <v>1353</v>
      </c>
      <c r="D130" s="576" t="s">
        <v>1521</v>
      </c>
      <c r="E130" s="576"/>
      <c r="F130" s="53">
        <f t="shared" si="8"/>
        <v>124</v>
      </c>
      <c r="G130" s="95" t="str">
        <f>IF(((IFERROR(VLOOKUP($B130,'Main Table'!$I$10:$I$555,1,FALSE),"X"))="X"),"","X")</f>
        <v/>
      </c>
      <c r="H130" s="95" t="str">
        <f>IF(((IFERROR(VLOOKUP($B130,'Main Table'!$M$10:$M$555,1,FALSE),"X"))="X"),"","X")</f>
        <v/>
      </c>
      <c r="I130" s="95" t="str">
        <f>IF(((IFERROR(VLOOKUP($B130,'Main Table'!$Q$10:$Q$555,1,FALSE),"X"))="X"),"","X")</f>
        <v/>
      </c>
      <c r="J130" s="95" t="str">
        <f>IF(((IFERROR(VLOOKUP($B130,'Critical Micelle Conc. (CMC)'!$P$9:$P$533,1,FALSE),"X"))="X"),"","X")</f>
        <v>X</v>
      </c>
      <c r="K130" s="95" t="str">
        <f>IF(((IFERROR(VLOOKUP($B130,pKa!$J$8:$J$579,1,FALSE),"X"))="X"),"","X")</f>
        <v/>
      </c>
      <c r="L130" s="95" t="str">
        <f>IF(((IFERROR(VLOOKUP($B130,'Vapor Pressure (VP)'!$N$9:$N$603,1,FALSE),"X"))="X"),"","X")</f>
        <v/>
      </c>
      <c r="M130" s="95" t="str">
        <f>IF(((IFERROR(VLOOKUP($B130,'Solubility (S)'!$P$9:$P$598,1,FALSE),"X"))="X"),"","X")</f>
        <v/>
      </c>
      <c r="N130" s="95" t="str">
        <f>IF(((IFERROR(VLOOKUP($B130,'Henry''s Constant (KH)'!$O$9:$O$527,1,FALSE),"X"))="X"),"","X")</f>
        <v/>
      </c>
      <c r="O130" s="95" t="str">
        <f>IF(((IFERROR(VLOOKUP($B130,'Log Koc'!$H$8:$H$553,1,FALSE),"X"))="X"),"","X")</f>
        <v/>
      </c>
      <c r="P130" s="95" t="str">
        <f>IF(((IFERROR(VLOOKUP($B130,Biotransformation!$T$23:$T$396,1,FALSE),"X"))="X"),"","X")</f>
        <v/>
      </c>
      <c r="Q130" s="532"/>
    </row>
    <row r="131" spans="1:17" s="52" customFormat="1" ht="80" x14ac:dyDescent="0.2">
      <c r="A131" s="274">
        <f t="shared" si="6"/>
        <v>125</v>
      </c>
      <c r="B131" s="33" t="s">
        <v>951</v>
      </c>
      <c r="C131" s="33" t="s">
        <v>1353</v>
      </c>
      <c r="D131" s="34" t="s">
        <v>1522</v>
      </c>
      <c r="E131" s="34"/>
      <c r="F131" s="53">
        <f t="shared" si="8"/>
        <v>125</v>
      </c>
      <c r="G131" s="95" t="str">
        <f>IF(((IFERROR(VLOOKUP($B131,'Main Table'!$I$10:$I$555,1,FALSE),"X"))="X"),"","X")</f>
        <v/>
      </c>
      <c r="H131" s="95" t="str">
        <f>IF(((IFERROR(VLOOKUP($B131,'Main Table'!$M$10:$M$555,1,FALSE),"X"))="X"),"","X")</f>
        <v/>
      </c>
      <c r="I131" s="95" t="str">
        <f>IF(((IFERROR(VLOOKUP($B131,'Main Table'!$Q$10:$Q$555,1,FALSE),"X"))="X"),"","X")</f>
        <v/>
      </c>
      <c r="J131" s="95" t="str">
        <f>IF(((IFERROR(VLOOKUP($B131,'Critical Micelle Conc. (CMC)'!$P$9:$P$533,1,FALSE),"X"))="X"),"","X")</f>
        <v/>
      </c>
      <c r="K131" s="95" t="str">
        <f>IF(((IFERROR(VLOOKUP($B131,pKa!$J$8:$J$579,1,FALSE),"X"))="X"),"","X")</f>
        <v>X</v>
      </c>
      <c r="L131" s="95" t="str">
        <f>IF(((IFERROR(VLOOKUP($B131,'Vapor Pressure (VP)'!$N$9:$N$603,1,FALSE),"X"))="X"),"","X")</f>
        <v/>
      </c>
      <c r="M131" s="95" t="str">
        <f>IF(((IFERROR(VLOOKUP($B131,'Solubility (S)'!$P$9:$P$598,1,FALSE),"X"))="X"),"","X")</f>
        <v/>
      </c>
      <c r="N131" s="95" t="str">
        <f>IF(((IFERROR(VLOOKUP($B131,'Henry''s Constant (KH)'!$O$9:$O$527,1,FALSE),"X"))="X"),"","X")</f>
        <v/>
      </c>
      <c r="O131" s="95" t="str">
        <f>IF(((IFERROR(VLOOKUP($B131,'Log Koc'!$H$8:$H$553,1,FALSE),"X"))="X"),"","X")</f>
        <v/>
      </c>
      <c r="P131" s="95" t="str">
        <f>IF(((IFERROR(VLOOKUP($B131,Biotransformation!$T$23:$T$396,1,FALSE),"X"))="X"),"","X")</f>
        <v/>
      </c>
      <c r="Q131"/>
    </row>
    <row r="132" spans="1:17" s="52" customFormat="1" ht="48" x14ac:dyDescent="0.2">
      <c r="A132" s="274">
        <f t="shared" si="6"/>
        <v>126</v>
      </c>
      <c r="B132" s="33" t="s">
        <v>1156</v>
      </c>
      <c r="C132" s="33" t="s">
        <v>1353</v>
      </c>
      <c r="D132" s="520" t="s">
        <v>1523</v>
      </c>
      <c r="E132" s="34"/>
      <c r="F132" s="53">
        <f t="shared" si="8"/>
        <v>126</v>
      </c>
      <c r="G132" s="95" t="str">
        <f>IF(((IFERROR(VLOOKUP($B132,'Main Table'!$I$10:$I$555,1,FALSE),"X"))="X"),"","X")</f>
        <v/>
      </c>
      <c r="H132" s="95" t="str">
        <f>IF(((IFERROR(VLOOKUP($B132,'Main Table'!$M$10:$M$555,1,FALSE),"X"))="X"),"","X")</f>
        <v/>
      </c>
      <c r="I132" s="95" t="str">
        <f>IF(((IFERROR(VLOOKUP($B132,'Main Table'!$Q$10:$Q$555,1,FALSE),"X"))="X"),"","X")</f>
        <v/>
      </c>
      <c r="J132" s="95" t="str">
        <f>IF(((IFERROR(VLOOKUP($B132,'Critical Micelle Conc. (CMC)'!$P$9:$P$533,1,FALSE),"X"))="X"),"","X")</f>
        <v/>
      </c>
      <c r="K132" s="95" t="str">
        <f>IF(((IFERROR(VLOOKUP($B132,pKa!$J$8:$J$579,1,FALSE),"X"))="X"),"","X")</f>
        <v/>
      </c>
      <c r="L132" s="95" t="str">
        <f>IF(((IFERROR(VLOOKUP($B132,'Vapor Pressure (VP)'!$N$9:$N$603,1,FALSE),"X"))="X"),"","X")</f>
        <v/>
      </c>
      <c r="M132" s="95" t="str">
        <f>IF(((IFERROR(VLOOKUP($B132,'Solubility (S)'!$P$9:$P$598,1,FALSE),"X"))="X"),"","X")</f>
        <v/>
      </c>
      <c r="N132" s="95" t="str">
        <f>IF(((IFERROR(VLOOKUP($B132,'Henry''s Constant (KH)'!$O$9:$O$527,1,FALSE),"X"))="X"),"","X")</f>
        <v/>
      </c>
      <c r="O132" s="95" t="str">
        <f>IF(((IFERROR(VLOOKUP($B132,'Log Koc'!$H$8:$H$553,1,FALSE),"X"))="X"),"","X")</f>
        <v/>
      </c>
      <c r="P132" s="95" t="str">
        <f>IF(((IFERROR(VLOOKUP($B132,Biotransformation!$T$23:$T$396,1,FALSE),"X"))="X"),"","X")</f>
        <v>X</v>
      </c>
      <c r="Q132"/>
    </row>
    <row r="133" spans="1:17" s="52" customFormat="1" ht="64" x14ac:dyDescent="0.2">
      <c r="A133" s="274">
        <f t="shared" si="6"/>
        <v>127</v>
      </c>
      <c r="B133" s="33" t="s">
        <v>523</v>
      </c>
      <c r="C133" s="33" t="s">
        <v>1353</v>
      </c>
      <c r="D133" s="34" t="s">
        <v>1524</v>
      </c>
      <c r="E133" s="34"/>
      <c r="F133" s="53">
        <f t="shared" si="8"/>
        <v>127</v>
      </c>
      <c r="G133" s="95" t="str">
        <f>IF(((IFERROR(VLOOKUP($B133,'Main Table'!$I$10:$I$555,1,FALSE),"X"))="X"),"","X")</f>
        <v/>
      </c>
      <c r="H133" s="95" t="str">
        <f>IF(((IFERROR(VLOOKUP($B133,'Main Table'!$M$10:$M$555,1,FALSE),"X"))="X"),"","X")</f>
        <v/>
      </c>
      <c r="I133" s="95" t="str">
        <f>IF(((IFERROR(VLOOKUP($B133,'Main Table'!$Q$10:$Q$555,1,FALSE),"X"))="X"),"","X")</f>
        <v/>
      </c>
      <c r="J133" s="95" t="str">
        <f>IF(((IFERROR(VLOOKUP($B133,'Critical Micelle Conc. (CMC)'!$P$9:$P$533,1,FALSE),"X"))="X"),"","X")</f>
        <v/>
      </c>
      <c r="K133" s="95" t="str">
        <f>IF(((IFERROR(VLOOKUP($B133,pKa!$J$8:$J$579,1,FALSE),"X"))="X"),"","X")</f>
        <v>X</v>
      </c>
      <c r="L133" s="95" t="str">
        <f>IF(((IFERROR(VLOOKUP($B133,'Vapor Pressure (VP)'!$N$9:$N$603,1,FALSE),"X"))="X"),"","X")</f>
        <v>X</v>
      </c>
      <c r="M133" s="95" t="str">
        <f>IF(((IFERROR(VLOOKUP($B133,'Solubility (S)'!$P$9:$P$598,1,FALSE),"X"))="X"),"","X")</f>
        <v>X</v>
      </c>
      <c r="N133" s="95" t="str">
        <f>IF(((IFERROR(VLOOKUP($B133,'Henry''s Constant (KH)'!$O$9:$O$527,1,FALSE),"X"))="X"),"","X")</f>
        <v>X</v>
      </c>
      <c r="O133" s="95" t="str">
        <f>IF(((IFERROR(VLOOKUP($B133,'Log Koc'!$H$8:$H$553,1,FALSE),"X"))="X"),"","X")</f>
        <v/>
      </c>
      <c r="P133" s="95" t="str">
        <f>IF(((IFERROR(VLOOKUP($B133,Biotransformation!$T$23:$T$396,1,FALSE),"X"))="X"),"","X")</f>
        <v/>
      </c>
      <c r="Q133"/>
    </row>
    <row r="134" spans="1:17" s="52" customFormat="1" ht="48" x14ac:dyDescent="0.2">
      <c r="A134" s="274">
        <f t="shared" si="6"/>
        <v>128</v>
      </c>
      <c r="B134" s="575" t="s">
        <v>891</v>
      </c>
      <c r="C134" s="33" t="s">
        <v>1353</v>
      </c>
      <c r="D134" s="576" t="s">
        <v>1525</v>
      </c>
      <c r="E134" s="576"/>
      <c r="F134" s="53">
        <f t="shared" si="8"/>
        <v>128</v>
      </c>
      <c r="G134" s="95" t="str">
        <f>IF(((IFERROR(VLOOKUP($B134,'Main Table'!$I$10:$I$555,1,FALSE),"X"))="X"),"","X")</f>
        <v/>
      </c>
      <c r="H134" s="95" t="str">
        <f>IF(((IFERROR(VLOOKUP($B134,'Main Table'!$M$10:$M$555,1,FALSE),"X"))="X"),"","X")</f>
        <v/>
      </c>
      <c r="I134" s="95" t="str">
        <f>IF(((IFERROR(VLOOKUP($B134,'Main Table'!$Q$10:$Q$555,1,FALSE),"X"))="X"),"","X")</f>
        <v/>
      </c>
      <c r="J134" s="95" t="str">
        <f>IF(((IFERROR(VLOOKUP($B134,'Critical Micelle Conc. (CMC)'!$P$9:$P$533,1,FALSE),"X"))="X"),"","X")</f>
        <v/>
      </c>
      <c r="K134" s="95" t="str">
        <f>IF(((IFERROR(VLOOKUP($B134,pKa!$J$8:$J$579,1,FALSE),"X"))="X"),"","X")</f>
        <v/>
      </c>
      <c r="L134" s="95" t="str">
        <f>IF(((IFERROR(VLOOKUP($B134,'Vapor Pressure (VP)'!$N$9:$N$603,1,FALSE),"X"))="X"),"","X")</f>
        <v/>
      </c>
      <c r="M134" s="95" t="str">
        <f>IF(((IFERROR(VLOOKUP($B134,'Solubility (S)'!$P$9:$P$598,1,FALSE),"X"))="X"),"","X")</f>
        <v/>
      </c>
      <c r="N134" s="95" t="str">
        <f>IF(((IFERROR(VLOOKUP($B134,'Henry''s Constant (KH)'!$O$9:$O$527,1,FALSE),"X"))="X"),"","X")</f>
        <v/>
      </c>
      <c r="O134" s="95" t="str">
        <f>IF(((IFERROR(VLOOKUP($B134,'Log Koc'!$H$8:$H$553,1,FALSE),"X"))="X"),"","X")</f>
        <v>X</v>
      </c>
      <c r="P134" s="95" t="str">
        <f>IF(((IFERROR(VLOOKUP($B134,Biotransformation!$T$23:$T$396,1,FALSE),"X"))="X"),"","X")</f>
        <v/>
      </c>
      <c r="Q134" s="532"/>
    </row>
    <row r="135" spans="1:17" s="52" customFormat="1" ht="64" x14ac:dyDescent="0.2">
      <c r="A135" s="274">
        <f t="shared" si="6"/>
        <v>129</v>
      </c>
      <c r="B135" s="575" t="s">
        <v>1526</v>
      </c>
      <c r="C135" s="33" t="s">
        <v>1353</v>
      </c>
      <c r="D135" s="576" t="s">
        <v>1527</v>
      </c>
      <c r="E135" s="576"/>
      <c r="F135" s="53">
        <f t="shared" si="8"/>
        <v>129</v>
      </c>
      <c r="G135" s="95" t="str">
        <f>IF(((IFERROR(VLOOKUP($B135,'Main Table'!$I$10:$I$555,1,FALSE),"X"))="X"),"","X")</f>
        <v/>
      </c>
      <c r="H135" s="95" t="str">
        <f>IF(((IFERROR(VLOOKUP($B135,'Main Table'!$M$10:$M$555,1,FALSE),"X"))="X"),"","X")</f>
        <v/>
      </c>
      <c r="I135" s="95" t="str">
        <f>IF(((IFERROR(VLOOKUP($B135,'Main Table'!$Q$10:$Q$555,1,FALSE),"X"))="X"),"","X")</f>
        <v/>
      </c>
      <c r="J135" s="95" t="str">
        <f>IF(((IFERROR(VLOOKUP($B135,'Critical Micelle Conc. (CMC)'!$P$9:$P$533,1,FALSE),"X"))="X"),"","X")</f>
        <v/>
      </c>
      <c r="K135" s="95" t="str">
        <f>IF(((IFERROR(VLOOKUP($B135,pKa!$J$8:$J$579,1,FALSE),"X"))="X"),"","X")</f>
        <v/>
      </c>
      <c r="L135" s="95" t="str">
        <f>IF(((IFERROR(VLOOKUP($B135,'Vapor Pressure (VP)'!$N$9:$N$603,1,FALSE),"X"))="X"),"","X")</f>
        <v/>
      </c>
      <c r="M135" s="95" t="str">
        <f>IF(((IFERROR(VLOOKUP($B135,'Solubility (S)'!$P$9:$P$598,1,FALSE),"X"))="X"),"","X")</f>
        <v/>
      </c>
      <c r="N135" s="95" t="str">
        <f>IF(((IFERROR(VLOOKUP($B135,'Henry''s Constant (KH)'!$O$9:$O$527,1,FALSE),"X"))="X"),"","X")</f>
        <v/>
      </c>
      <c r="O135" s="95" t="str">
        <f>IF(((IFERROR(VLOOKUP($B135,'Log Koc'!$H$8:$H$553,1,FALSE),"X"))="X"),"","X")</f>
        <v/>
      </c>
      <c r="P135" s="95" t="str">
        <f>IF(((IFERROR(VLOOKUP($B135,Biotransformation!$T$23:$T$396,1,FALSE),"X"))="X"),"","X")</f>
        <v/>
      </c>
      <c r="Q135" s="532"/>
    </row>
    <row r="136" spans="1:17" s="52" customFormat="1" ht="80" x14ac:dyDescent="0.2">
      <c r="A136" s="274">
        <f t="shared" si="6"/>
        <v>130</v>
      </c>
      <c r="B136" s="581" t="s">
        <v>688</v>
      </c>
      <c r="C136" s="33" t="s">
        <v>1353</v>
      </c>
      <c r="D136" s="576" t="s">
        <v>1528</v>
      </c>
      <c r="E136" s="582"/>
      <c r="F136" s="53">
        <f t="shared" si="8"/>
        <v>130</v>
      </c>
      <c r="G136" s="95" t="str">
        <f>IF(((IFERROR(VLOOKUP($B136,'Main Table'!$I$10:$I$555,1,FALSE),"X"))="X"),"","X")</f>
        <v/>
      </c>
      <c r="H136" s="95" t="str">
        <f>IF(((IFERROR(VLOOKUP($B136,'Main Table'!$M$10:$M$555,1,FALSE),"X"))="X"),"","X")</f>
        <v/>
      </c>
      <c r="I136" s="95" t="str">
        <f>IF(((IFERROR(VLOOKUP($B136,'Main Table'!$Q$10:$Q$555,1,FALSE),"X"))="X"),"","X")</f>
        <v/>
      </c>
      <c r="J136" s="95" t="str">
        <f>IF(((IFERROR(VLOOKUP($B136,'Critical Micelle Conc. (CMC)'!$P$9:$P$533,1,FALSE),"X"))="X"),"","X")</f>
        <v/>
      </c>
      <c r="K136" s="95" t="str">
        <f>IF(((IFERROR(VLOOKUP($B136,pKa!$J$8:$J$579,1,FALSE),"X"))="X"),"","X")</f>
        <v/>
      </c>
      <c r="L136" s="95" t="str">
        <f>IF(((IFERROR(VLOOKUP($B136,'Vapor Pressure (VP)'!$N$9:$N$603,1,FALSE),"X"))="X"),"","X")</f>
        <v/>
      </c>
      <c r="M136" s="95" t="str">
        <f>IF(((IFERROR(VLOOKUP($B136,'Solubility (S)'!$P$9:$P$598,1,FALSE),"X"))="X"),"","X")</f>
        <v/>
      </c>
      <c r="N136" s="95" t="str">
        <f>IF(((IFERROR(VLOOKUP($B136,'Henry''s Constant (KH)'!$O$9:$O$527,1,FALSE),"X"))="X"),"","X")</f>
        <v/>
      </c>
      <c r="O136" s="95" t="str">
        <f>IF(((IFERROR(VLOOKUP($B136,'Log Koc'!$H$8:$H$553,1,FALSE),"X"))="X"),"","X")</f>
        <v>X</v>
      </c>
      <c r="P136" s="95" t="str">
        <f>IF(((IFERROR(VLOOKUP($B136,Biotransformation!$T$23:$T$396,1,FALSE),"X"))="X"),"","X")</f>
        <v/>
      </c>
      <c r="Q136" s="532"/>
    </row>
    <row r="137" spans="1:17" s="52" customFormat="1" ht="96" x14ac:dyDescent="0.2">
      <c r="A137" s="274">
        <f t="shared" si="6"/>
        <v>131</v>
      </c>
      <c r="B137" s="581" t="s">
        <v>1167</v>
      </c>
      <c r="C137" s="33" t="s">
        <v>1353</v>
      </c>
      <c r="D137" s="576" t="s">
        <v>1529</v>
      </c>
      <c r="E137" s="582"/>
      <c r="F137" s="53">
        <f t="shared" ref="F137" si="9">A137</f>
        <v>131</v>
      </c>
      <c r="G137" s="95" t="str">
        <f>IF(((IFERROR(VLOOKUP($B137,'Main Table'!$I$10:$I$555,1,FALSE),"X"))="X"),"","X")</f>
        <v/>
      </c>
      <c r="H137" s="95" t="str">
        <f>IF(((IFERROR(VLOOKUP($B137,'Main Table'!$M$10:$M$555,1,FALSE),"X"))="X"),"","X")</f>
        <v/>
      </c>
      <c r="I137" s="95" t="str">
        <f>IF(((IFERROR(VLOOKUP($B137,'Main Table'!$Q$10:$Q$555,1,FALSE),"X"))="X"),"","X")</f>
        <v/>
      </c>
      <c r="J137" s="95" t="str">
        <f>IF(((IFERROR(VLOOKUP($B137,'Critical Micelle Conc. (CMC)'!$P$9:$P$533,1,FALSE),"X"))="X"),"","X")</f>
        <v/>
      </c>
      <c r="K137" s="95" t="str">
        <f>IF(((IFERROR(VLOOKUP($B137,pKa!$J$8:$J$579,1,FALSE),"X"))="X"),"","X")</f>
        <v/>
      </c>
      <c r="L137" s="95" t="str">
        <f>IF(((IFERROR(VLOOKUP($B137,'Vapor Pressure (VP)'!$N$9:$N$603,1,FALSE),"X"))="X"),"","X")</f>
        <v/>
      </c>
      <c r="M137" s="95" t="str">
        <f>IF(((IFERROR(VLOOKUP($B137,'Solubility (S)'!$P$9:$P$598,1,FALSE),"X"))="X"),"","X")</f>
        <v/>
      </c>
      <c r="N137" s="95" t="str">
        <f>IF(((IFERROR(VLOOKUP($B137,'Henry''s Constant (KH)'!$O$9:$O$527,1,FALSE),"X"))="X"),"","X")</f>
        <v/>
      </c>
      <c r="O137" s="95" t="str">
        <f>IF(((IFERROR(VLOOKUP($B137,'Log Koc'!$H$8:$H$553,1,FALSE),"X"))="X"),"","X")</f>
        <v/>
      </c>
      <c r="P137" s="95" t="str">
        <f>IF(((IFERROR(VLOOKUP($B137,Biotransformation!$T$23:$T$396,1,FALSE),"X"))="X"),"","X")</f>
        <v/>
      </c>
      <c r="Q137" s="532"/>
    </row>
    <row r="138" spans="1:17" s="52" customFormat="1" ht="80" x14ac:dyDescent="0.2">
      <c r="A138" s="274">
        <f t="shared" si="6"/>
        <v>132</v>
      </c>
      <c r="B138" s="511" t="s">
        <v>1287</v>
      </c>
      <c r="C138" s="512" t="s">
        <v>1353</v>
      </c>
      <c r="D138" s="513" t="s">
        <v>1530</v>
      </c>
      <c r="E138" s="514"/>
      <c r="F138" s="515">
        <f t="shared" si="8"/>
        <v>132</v>
      </c>
      <c r="G138" s="516" t="str">
        <f>IF(((IFERROR(VLOOKUP($B138,'Main Table'!$I$10:$I$555,1,FALSE),"X"))="X"),"","X")</f>
        <v/>
      </c>
      <c r="H138" s="516" t="str">
        <f>IF(((IFERROR(VLOOKUP($B138,'Main Table'!$M$10:$M$555,1,FALSE),"X"))="X"),"","X")</f>
        <v/>
      </c>
      <c r="I138" s="516" t="str">
        <f>IF(((IFERROR(VLOOKUP($B138,'Main Table'!$Q$10:$Q$555,1,FALSE),"X"))="X"),"","X")</f>
        <v/>
      </c>
      <c r="J138" s="516" t="str">
        <f>IF(((IFERROR(VLOOKUP($B138,'Critical Micelle Conc. (CMC)'!$P$9:$P$533,1,FALSE),"X"))="X"),"","X")</f>
        <v/>
      </c>
      <c r="K138" s="516" t="str">
        <f>IF(((IFERROR(VLOOKUP($B138,pKa!$J$8:$J$579,1,FALSE),"X"))="X"),"","X")</f>
        <v/>
      </c>
      <c r="L138" s="516" t="str">
        <f>IF(((IFERROR(VLOOKUP($B138,'Vapor Pressure (VP)'!$N$9:$N$603,1,FALSE),"X"))="X"),"","X")</f>
        <v/>
      </c>
      <c r="M138" s="516" t="str">
        <f>IF(((IFERROR(VLOOKUP($B138,'Solubility (S)'!$P$9:$P$598,1,FALSE),"X"))="X"),"","X")</f>
        <v/>
      </c>
      <c r="N138" s="516" t="str">
        <f>IF(((IFERROR(VLOOKUP($B138,'Henry''s Constant (KH)'!$O$9:$O$527,1,FALSE),"X"))="X"),"","X")</f>
        <v/>
      </c>
      <c r="O138" s="516" t="str">
        <f>IF(((IFERROR(VLOOKUP($B138,'Log Koc'!$H$8:$H$553,1,FALSE),"X"))="X"),"","X")</f>
        <v/>
      </c>
      <c r="P138" s="516" t="str">
        <f>IF(((IFERROR(VLOOKUP($B138,Biotransformation!$T$23:$T$396,1,FALSE),"X"))="X"),"","X")</f>
        <v/>
      </c>
      <c r="Q138"/>
    </row>
    <row r="139" spans="1:17" s="52" customFormat="1" ht="64" x14ac:dyDescent="0.2">
      <c r="A139" s="274">
        <f t="shared" si="6"/>
        <v>133</v>
      </c>
      <c r="B139" s="535" t="s">
        <v>614</v>
      </c>
      <c r="C139" s="33" t="s">
        <v>1353</v>
      </c>
      <c r="D139" s="576" t="s">
        <v>1531</v>
      </c>
      <c r="E139" s="582"/>
      <c r="F139" s="53">
        <f t="shared" si="8"/>
        <v>133</v>
      </c>
      <c r="G139" s="95" t="str">
        <f>IF(((IFERROR(VLOOKUP($B139,'Main Table'!$I$10:$I$555,1,FALSE),"X"))="X"),"","X")</f>
        <v/>
      </c>
      <c r="H139" s="95" t="str">
        <f>IF(((IFERROR(VLOOKUP($B139,'Main Table'!$M$10:$M$555,1,FALSE),"X"))="X"),"","X")</f>
        <v/>
      </c>
      <c r="I139" s="95" t="str">
        <f>IF(((IFERROR(VLOOKUP($B139,'Main Table'!$Q$10:$Q$555,1,FALSE),"X"))="X"),"","X")</f>
        <v/>
      </c>
      <c r="J139" s="95" t="str">
        <f>IF(((IFERROR(VLOOKUP($B139,'Critical Micelle Conc. (CMC)'!$P$9:$P$533,1,FALSE),"X"))="X"),"","X")</f>
        <v/>
      </c>
      <c r="K139" s="95" t="str">
        <f>IF(((IFERROR(VLOOKUP($B139,pKa!$J$8:$J$579,1,FALSE),"X"))="X"),"","X")</f>
        <v/>
      </c>
      <c r="L139" s="95" t="str">
        <f>IF(((IFERROR(VLOOKUP($B139,'Vapor Pressure (VP)'!$N$9:$N$603,1,FALSE),"X"))="X"),"","X")</f>
        <v/>
      </c>
      <c r="M139" s="95" t="str">
        <f>IF(((IFERROR(VLOOKUP($B139,'Solubility (S)'!$P$9:$P$598,1,FALSE),"X"))="X"),"","X")</f>
        <v/>
      </c>
      <c r="N139" s="95" t="str">
        <f>IF(((IFERROR(VLOOKUP($B139,'Henry''s Constant (KH)'!$O$9:$O$527,1,FALSE),"X"))="X"),"","X")</f>
        <v>X</v>
      </c>
      <c r="O139" s="95" t="str">
        <f>IF(((IFERROR(VLOOKUP($B139,'Log Koc'!$H$8:$H$553,1,FALSE),"X"))="X"),"","X")</f>
        <v/>
      </c>
      <c r="P139" s="95" t="str">
        <f>IF(((IFERROR(VLOOKUP($B139,Biotransformation!$T$23:$T$396,1,FALSE),"X"))="X"),"","X")</f>
        <v/>
      </c>
      <c r="Q139"/>
    </row>
    <row r="140" spans="1:17" s="52" customFormat="1" ht="80" x14ac:dyDescent="0.2">
      <c r="A140" s="274">
        <f t="shared" si="6"/>
        <v>134</v>
      </c>
      <c r="B140" s="464" t="s">
        <v>760</v>
      </c>
      <c r="C140" s="33" t="s">
        <v>1353</v>
      </c>
      <c r="D140" s="35" t="s">
        <v>1532</v>
      </c>
      <c r="E140" s="412" t="s">
        <v>1533</v>
      </c>
      <c r="F140" s="53">
        <f t="shared" si="8"/>
        <v>134</v>
      </c>
      <c r="G140" s="95" t="str">
        <f>IF(((IFERROR(VLOOKUP($B140,'Main Table'!$I$10:$I$555,1,FALSE),"X"))="X"),"","X")</f>
        <v/>
      </c>
      <c r="H140" s="95" t="str">
        <f>IF(((IFERROR(VLOOKUP($B140,'Main Table'!$M$10:$M$555,1,FALSE),"X"))="X"),"","X")</f>
        <v/>
      </c>
      <c r="I140" s="95" t="str">
        <f>IF(((IFERROR(VLOOKUP($B140,'Main Table'!$Q$10:$Q$555,1,FALSE),"X"))="X"),"","X")</f>
        <v/>
      </c>
      <c r="J140" s="95" t="str">
        <f>IF(((IFERROR(VLOOKUP($B140,'Critical Micelle Conc. (CMC)'!$P$9:$P$533,1,FALSE),"X"))="X"),"","X")</f>
        <v/>
      </c>
      <c r="K140" s="95" t="str">
        <f>IF(((IFERROR(VLOOKUP($B140,pKa!$J$8:$J$579,1,FALSE),"X"))="X"),"","X")</f>
        <v/>
      </c>
      <c r="L140" s="95" t="str">
        <f>IF(((IFERROR(VLOOKUP($B140,'Vapor Pressure (VP)'!$N$9:$N$603,1,FALSE),"X"))="X"),"","X")</f>
        <v/>
      </c>
      <c r="M140" s="95" t="str">
        <f>IF(((IFERROR(VLOOKUP($B140,'Solubility (S)'!$P$9:$P$598,1,FALSE),"X"))="X"),"","X")</f>
        <v/>
      </c>
      <c r="N140" s="95" t="str">
        <f>IF(((IFERROR(VLOOKUP($B140,'Henry''s Constant (KH)'!$O$9:$O$527,1,FALSE),"X"))="X"),"","X")</f>
        <v/>
      </c>
      <c r="O140" s="95" t="str">
        <f>IF(((IFERROR(VLOOKUP($B140,'Log Koc'!$H$8:$H$553,1,FALSE),"X"))="X"),"","X")</f>
        <v>X</v>
      </c>
      <c r="P140" s="95" t="str">
        <f>IF(((IFERROR(VLOOKUP($B140,Biotransformation!$T$23:$T$396,1,FALSE),"X"))="X"),"","X")</f>
        <v/>
      </c>
      <c r="Q140"/>
    </row>
    <row r="141" spans="1:17" s="52" customFormat="1" ht="48" x14ac:dyDescent="0.2">
      <c r="A141" s="274">
        <f t="shared" ref="A141:A158" si="10">A140+1</f>
        <v>135</v>
      </c>
      <c r="B141" s="387" t="s">
        <v>606</v>
      </c>
      <c r="C141" s="33" t="s">
        <v>1355</v>
      </c>
      <c r="D141" s="34" t="s">
        <v>1534</v>
      </c>
      <c r="E141" s="34" t="s">
        <v>1535</v>
      </c>
      <c r="F141" s="53">
        <f t="shared" si="8"/>
        <v>135</v>
      </c>
      <c r="G141" s="95" t="str">
        <f>IF(((IFERROR(VLOOKUP($B141,'Main Table'!$I$10:$I$555,1,FALSE),"X"))="X"),"","X")</f>
        <v/>
      </c>
      <c r="H141" s="95" t="str">
        <f>IF(((IFERROR(VLOOKUP($B141,'Main Table'!$M$10:$M$555,1,FALSE),"X"))="X"),"","X")</f>
        <v/>
      </c>
      <c r="I141" s="95" t="str">
        <f>IF(((IFERROR(VLOOKUP($B141,'Main Table'!$Q$10:$Q$555,1,FALSE),"X"))="X"),"","X")</f>
        <v/>
      </c>
      <c r="J141" s="95" t="str">
        <f>IF(((IFERROR(VLOOKUP($B141,'Critical Micelle Conc. (CMC)'!$P$9:$P$533,1,FALSE),"X"))="X"),"","X")</f>
        <v/>
      </c>
      <c r="K141" s="95" t="str">
        <f>IF(((IFERROR(VLOOKUP($B141,pKa!$J$8:$J$579,1,FALSE),"X"))="X"),"","X")</f>
        <v>X</v>
      </c>
      <c r="L141" s="95" t="str">
        <f>IF(((IFERROR(VLOOKUP($B141,'Vapor Pressure (VP)'!$N$9:$N$603,1,FALSE),"X"))="X"),"","X")</f>
        <v/>
      </c>
      <c r="M141" s="95" t="str">
        <f>IF(((IFERROR(VLOOKUP($B141,'Solubility (S)'!$P$9:$P$598,1,FALSE),"X"))="X"),"","X")</f>
        <v/>
      </c>
      <c r="N141" s="95" t="str">
        <f>IF(((IFERROR(VLOOKUP($B141,'Henry''s Constant (KH)'!$O$9:$O$527,1,FALSE),"X"))="X"),"","X")</f>
        <v>X</v>
      </c>
      <c r="O141" s="95" t="str">
        <f>IF(((IFERROR(VLOOKUP($B141,'Log Koc'!$H$8:$H$553,1,FALSE),"X"))="X"),"","X")</f>
        <v>X</v>
      </c>
      <c r="P141" s="95" t="str">
        <f>IF(((IFERROR(VLOOKUP($B141,Biotransformation!$T$23:$T$396,1,FALSE),"X"))="X"),"","X")</f>
        <v/>
      </c>
      <c r="Q141"/>
    </row>
    <row r="142" spans="1:17" s="52" customFormat="1" ht="64" x14ac:dyDescent="0.2">
      <c r="A142" s="274">
        <f t="shared" si="10"/>
        <v>136</v>
      </c>
      <c r="B142" s="535" t="s">
        <v>611</v>
      </c>
      <c r="C142" s="33" t="s">
        <v>1353</v>
      </c>
      <c r="D142" s="45" t="s">
        <v>1536</v>
      </c>
      <c r="E142" s="34"/>
      <c r="F142" s="53">
        <f t="shared" si="8"/>
        <v>136</v>
      </c>
      <c r="G142" s="95" t="str">
        <f>IF(((IFERROR(VLOOKUP($B142,'Main Table'!$I$10:$I$555,1,FALSE),"X"))="X"),"","X")</f>
        <v/>
      </c>
      <c r="H142" s="95" t="str">
        <f>IF(((IFERROR(VLOOKUP($B142,'Main Table'!$M$10:$M$555,1,FALSE),"X"))="X"),"","X")</f>
        <v/>
      </c>
      <c r="I142" s="95" t="str">
        <f>IF(((IFERROR(VLOOKUP($B142,'Main Table'!$Q$10:$Q$555,1,FALSE),"X"))="X"),"","X")</f>
        <v/>
      </c>
      <c r="J142" s="95" t="str">
        <f>IF(((IFERROR(VLOOKUP($B142,'Critical Micelle Conc. (CMC)'!$P$9:$P$533,1,FALSE),"X"))="X"),"","X")</f>
        <v/>
      </c>
      <c r="K142" s="95" t="str">
        <f>IF(((IFERROR(VLOOKUP($B142,pKa!$J$8:$J$579,1,FALSE),"X"))="X"),"","X")</f>
        <v/>
      </c>
      <c r="L142" s="95" t="str">
        <f>IF(((IFERROR(VLOOKUP($B142,'Vapor Pressure (VP)'!$N$9:$N$603,1,FALSE),"X"))="X"),"","X")</f>
        <v/>
      </c>
      <c r="M142" s="95" t="str">
        <f>IF(((IFERROR(VLOOKUP($B142,'Solubility (S)'!$P$9:$P$598,1,FALSE),"X"))="X"),"","X")</f>
        <v/>
      </c>
      <c r="N142" s="95" t="str">
        <f>IF(((IFERROR(VLOOKUP($B142,'Henry''s Constant (KH)'!$O$9:$O$527,1,FALSE),"X"))="X"),"","X")</f>
        <v>X</v>
      </c>
      <c r="O142" s="95" t="str">
        <f>IF(((IFERROR(VLOOKUP($B142,'Log Koc'!$H$8:$H$553,1,FALSE),"X"))="X"),"","X")</f>
        <v/>
      </c>
      <c r="P142" s="95" t="str">
        <f>IF(((IFERROR(VLOOKUP($B142,Biotransformation!$T$23:$T$396,1,FALSE),"X"))="X"),"","X")</f>
        <v/>
      </c>
      <c r="Q142"/>
    </row>
    <row r="143" spans="1:17" s="52" customFormat="1" ht="80" x14ac:dyDescent="0.2">
      <c r="A143" s="274">
        <f t="shared" si="10"/>
        <v>137</v>
      </c>
      <c r="B143" s="581" t="s">
        <v>1137</v>
      </c>
      <c r="C143" s="33" t="s">
        <v>1353</v>
      </c>
      <c r="D143" s="526" t="s">
        <v>1537</v>
      </c>
      <c r="E143" s="576" t="s">
        <v>1538</v>
      </c>
      <c r="F143" s="53">
        <f t="shared" si="8"/>
        <v>137</v>
      </c>
      <c r="G143" s="95" t="str">
        <f>IF(((IFERROR(VLOOKUP($B143,'Main Table'!$I$10:$I$555,1,FALSE),"X"))="X"),"","X")</f>
        <v/>
      </c>
      <c r="H143" s="95" t="str">
        <f>IF(((IFERROR(VLOOKUP($B143,'Main Table'!$M$10:$M$555,1,FALSE),"X"))="X"),"","X")</f>
        <v/>
      </c>
      <c r="I143" s="95" t="str">
        <f>IF(((IFERROR(VLOOKUP($B143,'Main Table'!$Q$10:$Q$555,1,FALSE),"X"))="X"),"","X")</f>
        <v/>
      </c>
      <c r="J143" s="95" t="str">
        <f>IF(((IFERROR(VLOOKUP($B143,'Critical Micelle Conc. (CMC)'!$P$9:$P$533,1,FALSE),"X"))="X"),"","X")</f>
        <v/>
      </c>
      <c r="K143" s="95" t="str">
        <f>IF(((IFERROR(VLOOKUP($B143,pKa!$J$8:$J$579,1,FALSE),"X"))="X"),"","X")</f>
        <v/>
      </c>
      <c r="L143" s="95" t="str">
        <f>IF(((IFERROR(VLOOKUP($B143,'Vapor Pressure (VP)'!$N$9:$N$603,1,FALSE),"X"))="X"),"","X")</f>
        <v/>
      </c>
      <c r="M143" s="95" t="str">
        <f>IF(((IFERROR(VLOOKUP($B143,'Solubility (S)'!$P$9:$P$598,1,FALSE),"X"))="X"),"","X")</f>
        <v/>
      </c>
      <c r="N143" s="95" t="str">
        <f>IF(((IFERROR(VLOOKUP($B143,'Henry''s Constant (KH)'!$O$9:$O$527,1,FALSE),"X"))="X"),"","X")</f>
        <v/>
      </c>
      <c r="O143" s="95" t="str">
        <f>IF(((IFERROR(VLOOKUP($B143,'Log Koc'!$H$8:$H$553,1,FALSE),"X"))="X"),"","X")</f>
        <v/>
      </c>
      <c r="P143" s="95" t="str">
        <f>IF(((IFERROR(VLOOKUP($B143,Biotransformation!$T$23:$T$396,1,FALSE),"X"))="X"),"","X")</f>
        <v>X</v>
      </c>
      <c r="Q143"/>
    </row>
    <row r="144" spans="1:17" s="52" customFormat="1" ht="80" x14ac:dyDescent="0.2">
      <c r="A144" s="274">
        <f t="shared" si="10"/>
        <v>138</v>
      </c>
      <c r="B144" s="581" t="s">
        <v>1003</v>
      </c>
      <c r="C144" s="33" t="s">
        <v>1353</v>
      </c>
      <c r="D144" s="526" t="s">
        <v>1539</v>
      </c>
      <c r="E144" s="576"/>
      <c r="F144" s="53">
        <f t="shared" si="8"/>
        <v>138</v>
      </c>
      <c r="G144" s="95" t="str">
        <f>IF(((IFERROR(VLOOKUP($B144,'Main Table'!$I$10:$I$555,1,FALSE),"X"))="X"),"","X")</f>
        <v/>
      </c>
      <c r="H144" s="95" t="str">
        <f>IF(((IFERROR(VLOOKUP($B144,'Main Table'!$M$10:$M$555,1,FALSE),"X"))="X"),"","X")</f>
        <v/>
      </c>
      <c r="I144" s="95" t="str">
        <f>IF(((IFERROR(VLOOKUP($B144,'Main Table'!$Q$10:$Q$555,1,FALSE),"X"))="X"),"","X")</f>
        <v/>
      </c>
      <c r="J144" s="95" t="str">
        <f>IF(((IFERROR(VLOOKUP($B144,'Critical Micelle Conc. (CMC)'!$P$9:$P$533,1,FALSE),"X"))="X"),"","X")</f>
        <v/>
      </c>
      <c r="K144" s="95" t="str">
        <f>IF(((IFERROR(VLOOKUP($B144,pKa!$J$8:$J$579,1,FALSE),"X"))="X"),"","X")</f>
        <v/>
      </c>
      <c r="L144" s="95" t="str">
        <f>IF(((IFERROR(VLOOKUP($B144,'Vapor Pressure (VP)'!$N$9:$N$603,1,FALSE),"X"))="X"),"","X")</f>
        <v/>
      </c>
      <c r="M144" s="95" t="str">
        <f>IF(((IFERROR(VLOOKUP($B144,'Solubility (S)'!$P$9:$P$598,1,FALSE),"X"))="X"),"","X")</f>
        <v/>
      </c>
      <c r="N144" s="95" t="str">
        <f>IF(((IFERROR(VLOOKUP($B144,'Henry''s Constant (KH)'!$O$9:$O$527,1,FALSE),"X"))="X"),"","X")</f>
        <v/>
      </c>
      <c r="O144" s="95" t="str">
        <f>IF(((IFERROR(VLOOKUP($B144,'Log Koc'!$H$8:$H$553,1,FALSE),"X"))="X"),"","X")</f>
        <v/>
      </c>
      <c r="P144" s="95" t="str">
        <f>IF(((IFERROR(VLOOKUP($B144,Biotransformation!$T$23:$T$396,1,FALSE),"X"))="X"),"","X")</f>
        <v>X</v>
      </c>
      <c r="Q144"/>
    </row>
    <row r="145" spans="1:17" s="52" customFormat="1" ht="64" x14ac:dyDescent="0.2">
      <c r="A145" s="274">
        <f t="shared" si="10"/>
        <v>139</v>
      </c>
      <c r="B145" s="575" t="s">
        <v>934</v>
      </c>
      <c r="C145" s="33" t="s">
        <v>1353</v>
      </c>
      <c r="D145" s="576" t="s">
        <v>1540</v>
      </c>
      <c r="E145" s="576"/>
      <c r="F145" s="53">
        <f t="shared" si="8"/>
        <v>139</v>
      </c>
      <c r="G145" s="95" t="str">
        <f>IF(((IFERROR(VLOOKUP($B145,'Main Table'!$I$10:$I$555,1,FALSE),"X"))="X"),"","X")</f>
        <v/>
      </c>
      <c r="H145" s="95" t="str">
        <f>IF(((IFERROR(VLOOKUP($B145,'Main Table'!$M$10:$M$555,1,FALSE),"X"))="X"),"","X")</f>
        <v/>
      </c>
      <c r="I145" s="95" t="str">
        <f>IF(((IFERROR(VLOOKUP($B145,'Main Table'!$Q$10:$Q$555,1,FALSE),"X"))="X"),"","X")</f>
        <v/>
      </c>
      <c r="J145" s="95" t="str">
        <f>IF(((IFERROR(VLOOKUP($B145,'Critical Micelle Conc. (CMC)'!$P$9:$P$533,1,FALSE),"X"))="X"),"","X")</f>
        <v/>
      </c>
      <c r="K145" s="95" t="str">
        <f>IF(((IFERROR(VLOOKUP($B145,pKa!$J$8:$J$579,1,FALSE),"X"))="X"),"","X")</f>
        <v/>
      </c>
      <c r="L145" s="95" t="str">
        <f>IF(((IFERROR(VLOOKUP($B145,'Vapor Pressure (VP)'!$N$9:$N$603,1,FALSE),"X"))="X"),"","X")</f>
        <v/>
      </c>
      <c r="M145" s="95" t="str">
        <f>IF(((IFERROR(VLOOKUP($B145,'Solubility (S)'!$P$9:$P$598,1,FALSE),"X"))="X"),"","X")</f>
        <v/>
      </c>
      <c r="N145" s="95" t="str">
        <f>IF(((IFERROR(VLOOKUP($B145,'Henry''s Constant (KH)'!$O$9:$O$527,1,FALSE),"X"))="X"),"","X")</f>
        <v/>
      </c>
      <c r="O145" s="95" t="str">
        <f>IF(((IFERROR(VLOOKUP($B145,'Log Koc'!$H$8:$H$553,1,FALSE),"X"))="X"),"","X")</f>
        <v>X</v>
      </c>
      <c r="P145" s="95" t="str">
        <f>IF(((IFERROR(VLOOKUP($B145,Biotransformation!$T$23:$T$396,1,FALSE),"X"))="X"),"","X")</f>
        <v/>
      </c>
      <c r="Q145" s="532"/>
    </row>
    <row r="146" spans="1:17" s="52" customFormat="1" ht="64" x14ac:dyDescent="0.2">
      <c r="A146" s="274">
        <f t="shared" si="10"/>
        <v>140</v>
      </c>
      <c r="B146" s="471" t="s">
        <v>641</v>
      </c>
      <c r="C146" s="33" t="s">
        <v>1355</v>
      </c>
      <c r="D146" s="411" t="s">
        <v>1541</v>
      </c>
      <c r="E146" s="411"/>
      <c r="F146" s="53">
        <f t="shared" si="8"/>
        <v>140</v>
      </c>
      <c r="G146" s="95" t="str">
        <f>IF(((IFERROR(VLOOKUP($B146,'Main Table'!$I$10:$I$555,1,FALSE),"X"))="X"),"","X")</f>
        <v/>
      </c>
      <c r="H146" s="95" t="str">
        <f>IF(((IFERROR(VLOOKUP($B146,'Main Table'!$M$10:$M$555,1,FALSE),"X"))="X"),"","X")</f>
        <v/>
      </c>
      <c r="I146" s="95" t="str">
        <f>IF(((IFERROR(VLOOKUP($B146,'Main Table'!$Q$10:$Q$555,1,FALSE),"X"))="X"),"","X")</f>
        <v/>
      </c>
      <c r="J146" s="95" t="str">
        <f>IF(((IFERROR(VLOOKUP($B146,'Critical Micelle Conc. (CMC)'!$P$9:$P$533,1,FALSE),"X"))="X"),"","X")</f>
        <v>X</v>
      </c>
      <c r="K146" s="95" t="str">
        <f>IF(((IFERROR(VLOOKUP($B146,pKa!$J$8:$J$579,1,FALSE),"X"))="X"),"","X")</f>
        <v/>
      </c>
      <c r="L146" s="95" t="str">
        <f>IF(((IFERROR(VLOOKUP($B146,'Vapor Pressure (VP)'!$N$9:$N$603,1,FALSE),"X"))="X"),"","X")</f>
        <v/>
      </c>
      <c r="M146" s="95" t="str">
        <f>IF(((IFERROR(VLOOKUP($B146,'Solubility (S)'!$P$9:$P$598,1,FALSE),"X"))="X"),"","X")</f>
        <v/>
      </c>
      <c r="N146" s="95" t="str">
        <f>IF(((IFERROR(VLOOKUP($B146,'Henry''s Constant (KH)'!$O$9:$O$527,1,FALSE),"X"))="X"),"","X")</f>
        <v/>
      </c>
      <c r="O146" s="95" t="str">
        <f>IF(((IFERROR(VLOOKUP($B146,'Log Koc'!$H$8:$H$553,1,FALSE),"X"))="X"),"","X")</f>
        <v/>
      </c>
      <c r="P146" s="95" t="str">
        <f>IF(((IFERROR(VLOOKUP($B146,Biotransformation!$T$23:$T$396,1,FALSE),"X"))="X"),"","X")</f>
        <v/>
      </c>
      <c r="Q146"/>
    </row>
    <row r="147" spans="1:17" s="52" customFormat="1" ht="64" x14ac:dyDescent="0.2">
      <c r="A147" s="274">
        <f t="shared" si="10"/>
        <v>141</v>
      </c>
      <c r="B147" s="471" t="s">
        <v>1144</v>
      </c>
      <c r="C147" s="33" t="s">
        <v>1353</v>
      </c>
      <c r="D147" s="411" t="s">
        <v>1542</v>
      </c>
      <c r="E147" s="411" t="s">
        <v>1543</v>
      </c>
      <c r="F147" s="53">
        <f t="shared" si="8"/>
        <v>141</v>
      </c>
      <c r="G147" s="95" t="str">
        <f>IF(((IFERROR(VLOOKUP($B147,'Main Table'!$I$10:$I$555,1,FALSE),"X"))="X"),"","X")</f>
        <v/>
      </c>
      <c r="H147" s="95" t="str">
        <f>IF(((IFERROR(VLOOKUP($B147,'Main Table'!$M$10:$M$555,1,FALSE),"X"))="X"),"","X")</f>
        <v/>
      </c>
      <c r="I147" s="95" t="str">
        <f>IF(((IFERROR(VLOOKUP($B147,'Main Table'!$Q$10:$Q$555,1,FALSE),"X"))="X"),"","X")</f>
        <v/>
      </c>
      <c r="J147" s="95" t="str">
        <f>IF(((IFERROR(VLOOKUP($B147,'Critical Micelle Conc. (CMC)'!$P$9:$P$533,1,FALSE),"X"))="X"),"","X")</f>
        <v/>
      </c>
      <c r="K147" s="95" t="str">
        <f>IF(((IFERROR(VLOOKUP($B147,pKa!$J$8:$J$579,1,FALSE),"X"))="X"),"","X")</f>
        <v/>
      </c>
      <c r="L147" s="95" t="str">
        <f>IF(((IFERROR(VLOOKUP($B147,'Vapor Pressure (VP)'!$N$9:$N$603,1,FALSE),"X"))="X"),"","X")</f>
        <v/>
      </c>
      <c r="M147" s="95" t="str">
        <f>IF(((IFERROR(VLOOKUP($B147,'Solubility (S)'!$P$9:$P$598,1,FALSE),"X"))="X"),"","X")</f>
        <v/>
      </c>
      <c r="N147" s="95" t="str">
        <f>IF(((IFERROR(VLOOKUP($B147,'Henry''s Constant (KH)'!$O$9:$O$527,1,FALSE),"X"))="X"),"","X")</f>
        <v/>
      </c>
      <c r="O147" s="95" t="str">
        <f>IF(((IFERROR(VLOOKUP($B147,'Log Koc'!$H$8:$H$553,1,FALSE),"X"))="X"),"","X")</f>
        <v/>
      </c>
      <c r="P147" s="95" t="str">
        <f>IF(((IFERROR(VLOOKUP($B147,Biotransformation!$T$23:$T$396,1,FALSE),"X"))="X"),"","X")</f>
        <v>X</v>
      </c>
      <c r="Q147"/>
    </row>
    <row r="148" spans="1:17" s="52" customFormat="1" ht="64" x14ac:dyDescent="0.2">
      <c r="A148" s="274">
        <f t="shared" si="10"/>
        <v>142</v>
      </c>
      <c r="B148" s="33" t="s">
        <v>1045</v>
      </c>
      <c r="C148" s="400" t="s">
        <v>1353</v>
      </c>
      <c r="D148" s="34" t="s">
        <v>1544</v>
      </c>
      <c r="E148" s="34" t="s">
        <v>1545</v>
      </c>
      <c r="F148" s="53">
        <f t="shared" si="8"/>
        <v>142</v>
      </c>
      <c r="G148" s="95" t="str">
        <f>IF(((IFERROR(VLOOKUP($B148,'Main Table'!$I$10:$I$555,1,FALSE),"X"))="X"),"","X")</f>
        <v/>
      </c>
      <c r="H148" s="95" t="str">
        <f>IF(((IFERROR(VLOOKUP($B148,'Main Table'!$M$10:$M$555,1,FALSE),"X"))="X"),"","X")</f>
        <v/>
      </c>
      <c r="I148" s="95" t="str">
        <f>IF(((IFERROR(VLOOKUP($B148,'Main Table'!$Q$10:$Q$555,1,FALSE),"X"))="X"),"","X")</f>
        <v/>
      </c>
      <c r="J148" s="95" t="str">
        <f>IF(((IFERROR(VLOOKUP($B148,'Critical Micelle Conc. (CMC)'!$P$9:$P$533,1,FALSE),"X"))="X"),"","X")</f>
        <v/>
      </c>
      <c r="K148" s="95" t="str">
        <f>IF(((IFERROR(VLOOKUP($B148,pKa!$J$8:$J$579,1,FALSE),"X"))="X"),"","X")</f>
        <v/>
      </c>
      <c r="L148" s="95" t="str">
        <f>IF(((IFERROR(VLOOKUP($B148,'Vapor Pressure (VP)'!$N$9:$N$603,1,FALSE),"X"))="X"),"","X")</f>
        <v/>
      </c>
      <c r="M148" s="95" t="str">
        <f>IF(((IFERROR(VLOOKUP($B148,'Solubility (S)'!$P$9:$P$598,1,FALSE),"X"))="X"),"","X")</f>
        <v/>
      </c>
      <c r="N148" s="95" t="str">
        <f>IF(((IFERROR(VLOOKUP($B148,'Henry''s Constant (KH)'!$O$9:$O$527,1,FALSE),"X"))="X"),"","X")</f>
        <v/>
      </c>
      <c r="O148" s="95" t="str">
        <f>IF(((IFERROR(VLOOKUP($B148,'Log Koc'!$H$8:$H$553,1,FALSE),"X"))="X"),"","X")</f>
        <v/>
      </c>
      <c r="P148" s="95" t="str">
        <f>IF(((IFERROR(VLOOKUP($B148,Biotransformation!$T$23:$T$396,1,FALSE),"X"))="X"),"","X")</f>
        <v>X</v>
      </c>
      <c r="Q148"/>
    </row>
    <row r="149" spans="1:17" s="52" customFormat="1" ht="64" x14ac:dyDescent="0.2">
      <c r="A149" s="274">
        <f t="shared" si="10"/>
        <v>143</v>
      </c>
      <c r="B149" s="578" t="s">
        <v>600</v>
      </c>
      <c r="C149" s="400" t="s">
        <v>1353</v>
      </c>
      <c r="D149" s="576" t="s">
        <v>1546</v>
      </c>
      <c r="E149" s="576"/>
      <c r="F149" s="53">
        <f t="shared" si="8"/>
        <v>143</v>
      </c>
      <c r="G149" s="95" t="str">
        <f>IF(((IFERROR(VLOOKUP($B149,'Main Table'!$I$10:$I$555,1,FALSE),"X"))="X"),"","X")</f>
        <v/>
      </c>
      <c r="H149" s="95" t="str">
        <f>IF(((IFERROR(VLOOKUP($B149,'Main Table'!$M$10:$M$555,1,FALSE),"X"))="X"),"","X")</f>
        <v/>
      </c>
      <c r="I149" s="95" t="str">
        <f>IF(((IFERROR(VLOOKUP($B149,'Main Table'!$Q$10:$Q$555,1,FALSE),"X"))="X"),"","X")</f>
        <v/>
      </c>
      <c r="J149" s="95" t="str">
        <f>IF(((IFERROR(VLOOKUP($B149,'Critical Micelle Conc. (CMC)'!$P$9:$P$533,1,FALSE),"X"))="X"),"","X")</f>
        <v/>
      </c>
      <c r="K149" s="95" t="str">
        <f>IF(((IFERROR(VLOOKUP($B149,pKa!$J$8:$J$579,1,FALSE),"X"))="X"),"","X")</f>
        <v/>
      </c>
      <c r="L149" s="95" t="str">
        <f>IF(((IFERROR(VLOOKUP($B149,'Vapor Pressure (VP)'!$N$9:$N$603,1,FALSE),"X"))="X"),"","X")</f>
        <v/>
      </c>
      <c r="M149" s="95" t="str">
        <f>IF(((IFERROR(VLOOKUP($B149,'Solubility (S)'!$P$9:$P$598,1,FALSE),"X"))="X"),"","X")</f>
        <v/>
      </c>
      <c r="N149" s="95" t="str">
        <f>IF(((IFERROR(VLOOKUP($B149,'Henry''s Constant (KH)'!$O$9:$O$527,1,FALSE),"X"))="X"),"","X")</f>
        <v>X</v>
      </c>
      <c r="O149" s="95" t="str">
        <f>IF(((IFERROR(VLOOKUP($B149,'Log Koc'!$H$8:$H$553,1,FALSE),"X"))="X"),"","X")</f>
        <v/>
      </c>
      <c r="P149" s="95" t="str">
        <f>IF(((IFERROR(VLOOKUP($B149,Biotransformation!$T$23:$T$396,1,FALSE),"X"))="X"),"","X")</f>
        <v/>
      </c>
      <c r="Q149"/>
    </row>
    <row r="150" spans="1:17" s="52" customFormat="1" ht="80" x14ac:dyDescent="0.2">
      <c r="A150" s="274">
        <f t="shared" si="10"/>
        <v>144</v>
      </c>
      <c r="B150" s="32" t="s">
        <v>665</v>
      </c>
      <c r="C150" s="400" t="s">
        <v>1353</v>
      </c>
      <c r="D150" s="35" t="s">
        <v>1547</v>
      </c>
      <c r="E150" s="34" t="s">
        <v>1548</v>
      </c>
      <c r="F150" s="53">
        <f t="shared" si="8"/>
        <v>144</v>
      </c>
      <c r="G150" s="95" t="str">
        <f>IF(((IFERROR(VLOOKUP($B150,'Main Table'!$I$10:$I$555,1,FALSE),"X"))="X"),"","X")</f>
        <v/>
      </c>
      <c r="H150" s="95" t="str">
        <f>IF(((IFERROR(VLOOKUP($B150,'Main Table'!$M$10:$M$555,1,FALSE),"X"))="X"),"","X")</f>
        <v/>
      </c>
      <c r="I150" s="95" t="str">
        <f>IF(((IFERROR(VLOOKUP($B150,'Main Table'!$Q$10:$Q$555,1,FALSE),"X"))="X"),"","X")</f>
        <v/>
      </c>
      <c r="J150" s="95" t="str">
        <f>IF(((IFERROR(VLOOKUP($B150,'Critical Micelle Conc. (CMC)'!$P$9:$P$533,1,FALSE),"X"))="X"),"","X")</f>
        <v/>
      </c>
      <c r="K150" s="95" t="str">
        <f>IF(((IFERROR(VLOOKUP($B150,pKa!$J$8:$J$579,1,FALSE),"X"))="X"),"","X")</f>
        <v/>
      </c>
      <c r="L150" s="95" t="str">
        <f>IF(((IFERROR(VLOOKUP($B150,'Vapor Pressure (VP)'!$N$9:$N$603,1,FALSE),"X"))="X"),"","X")</f>
        <v/>
      </c>
      <c r="M150" s="95" t="str">
        <f>IF(((IFERROR(VLOOKUP($B150,'Solubility (S)'!$P$9:$P$598,1,FALSE),"X"))="X"),"","X")</f>
        <v/>
      </c>
      <c r="N150" s="95" t="str">
        <f>IF(((IFERROR(VLOOKUP($B150,'Henry''s Constant (KH)'!$O$9:$O$527,1,FALSE),"X"))="X"),"","X")</f>
        <v/>
      </c>
      <c r="O150" s="95" t="str">
        <f>IF(((IFERROR(VLOOKUP($B150,'Log Koc'!$H$8:$H$553,1,FALSE),"X"))="X"),"","X")</f>
        <v>X</v>
      </c>
      <c r="P150" s="95" t="str">
        <f>IF(((IFERROR(VLOOKUP($B150,Biotransformation!$T$23:$T$396,1,FALSE),"X"))="X"),"","X")</f>
        <v/>
      </c>
      <c r="Q150"/>
    </row>
    <row r="151" spans="1:17" s="52" customFormat="1" ht="80" x14ac:dyDescent="0.2">
      <c r="A151" s="274">
        <f t="shared" si="10"/>
        <v>145</v>
      </c>
      <c r="B151" s="32" t="s">
        <v>1116</v>
      </c>
      <c r="C151" s="33" t="s">
        <v>1353</v>
      </c>
      <c r="D151" s="35" t="s">
        <v>1549</v>
      </c>
      <c r="E151" s="34" t="s">
        <v>1550</v>
      </c>
      <c r="F151" s="53">
        <f t="shared" si="8"/>
        <v>145</v>
      </c>
      <c r="G151" s="95" t="str">
        <f>IF(((IFERROR(VLOOKUP($B151,'Main Table'!$I$10:$I$555,1,FALSE),"X"))="X"),"","X")</f>
        <v/>
      </c>
      <c r="H151" s="95" t="str">
        <f>IF(((IFERROR(VLOOKUP($B151,'Main Table'!$M$10:$M$555,1,FALSE),"X"))="X"),"","X")</f>
        <v/>
      </c>
      <c r="I151" s="95" t="str">
        <f>IF(((IFERROR(VLOOKUP($B151,'Main Table'!$Q$10:$Q$555,1,FALSE),"X"))="X"),"","X")</f>
        <v/>
      </c>
      <c r="J151" s="95" t="str">
        <f>IF(((IFERROR(VLOOKUP($B151,'Critical Micelle Conc. (CMC)'!$P$9:$P$533,1,FALSE),"X"))="X"),"","X")</f>
        <v/>
      </c>
      <c r="K151" s="95" t="str">
        <f>IF(((IFERROR(VLOOKUP($B151,pKa!$J$8:$J$579,1,FALSE),"X"))="X"),"","X")</f>
        <v/>
      </c>
      <c r="L151" s="95" t="str">
        <f>IF(((IFERROR(VLOOKUP($B151,'Vapor Pressure (VP)'!$N$9:$N$603,1,FALSE),"X"))="X"),"","X")</f>
        <v/>
      </c>
      <c r="M151" s="95" t="str">
        <f>IF(((IFERROR(VLOOKUP($B151,'Solubility (S)'!$P$9:$P$598,1,FALSE),"X"))="X"),"","X")</f>
        <v/>
      </c>
      <c r="N151" s="95" t="str">
        <f>IF(((IFERROR(VLOOKUP($B151,'Henry''s Constant (KH)'!$O$9:$O$527,1,FALSE),"X"))="X"),"","X")</f>
        <v/>
      </c>
      <c r="O151" s="95" t="str">
        <f>IF(((IFERROR(VLOOKUP($B151,'Log Koc'!$H$8:$H$553,1,FALSE),"X"))="X"),"","X")</f>
        <v/>
      </c>
      <c r="P151" s="95" t="str">
        <f>IF(((IFERROR(VLOOKUP($B151,Biotransformation!$T$23:$T$396,1,FALSE),"X"))="X"),"","X")</f>
        <v>X</v>
      </c>
      <c r="Q151"/>
    </row>
    <row r="152" spans="1:17" s="52" customFormat="1" ht="64" x14ac:dyDescent="0.2">
      <c r="A152" s="274">
        <f t="shared" si="10"/>
        <v>146</v>
      </c>
      <c r="B152" s="32" t="s">
        <v>1008</v>
      </c>
      <c r="C152" s="33" t="s">
        <v>1353</v>
      </c>
      <c r="D152" s="35" t="s">
        <v>1551</v>
      </c>
      <c r="E152" s="34"/>
      <c r="F152" s="53">
        <f t="shared" si="8"/>
        <v>146</v>
      </c>
      <c r="G152" s="95" t="str">
        <f>IF(((IFERROR(VLOOKUP($B152,'Main Table'!$I$10:$I$555,1,FALSE),"X"))="X"),"","X")</f>
        <v/>
      </c>
      <c r="H152" s="95" t="str">
        <f>IF(((IFERROR(VLOOKUP($B152,'Main Table'!$M$10:$M$555,1,FALSE),"X"))="X"),"","X")</f>
        <v/>
      </c>
      <c r="I152" s="95" t="str">
        <f>IF(((IFERROR(VLOOKUP($B152,'Main Table'!$Q$10:$Q$555,1,FALSE),"X"))="X"),"","X")</f>
        <v/>
      </c>
      <c r="J152" s="95" t="str">
        <f>IF(((IFERROR(VLOOKUP($B152,'Critical Micelle Conc. (CMC)'!$P$9:$P$533,1,FALSE),"X"))="X"),"","X")</f>
        <v/>
      </c>
      <c r="K152" s="95" t="str">
        <f>IF(((IFERROR(VLOOKUP($B152,pKa!$J$8:$J$579,1,FALSE),"X"))="X"),"","X")</f>
        <v/>
      </c>
      <c r="L152" s="95" t="str">
        <f>IF(((IFERROR(VLOOKUP($B152,'Vapor Pressure (VP)'!$N$9:$N$603,1,FALSE),"X"))="X"),"","X")</f>
        <v/>
      </c>
      <c r="M152" s="95" t="str">
        <f>IF(((IFERROR(VLOOKUP($B152,'Solubility (S)'!$P$9:$P$598,1,FALSE),"X"))="X"),"","X")</f>
        <v/>
      </c>
      <c r="N152" s="95" t="str">
        <f>IF(((IFERROR(VLOOKUP($B152,'Henry''s Constant (KH)'!$O$9:$O$527,1,FALSE),"X"))="X"),"","X")</f>
        <v/>
      </c>
      <c r="O152" s="95" t="str">
        <f>IF(((IFERROR(VLOOKUP($B152,'Log Koc'!$H$8:$H$553,1,FALSE),"X"))="X"),"","X")</f>
        <v/>
      </c>
      <c r="P152" s="95" t="str">
        <f>IF(((IFERROR(VLOOKUP($B152,Biotransformation!$T$23:$T$396,1,FALSE),"X"))="X"),"","X")</f>
        <v>X</v>
      </c>
      <c r="Q152"/>
    </row>
    <row r="153" spans="1:17" s="52" customFormat="1" ht="64" x14ac:dyDescent="0.2">
      <c r="A153" s="274">
        <f t="shared" si="10"/>
        <v>147</v>
      </c>
      <c r="B153" s="32" t="s">
        <v>1110</v>
      </c>
      <c r="C153" s="33" t="s">
        <v>1353</v>
      </c>
      <c r="D153" s="35" t="s">
        <v>1552</v>
      </c>
      <c r="E153" s="382" t="s">
        <v>1553</v>
      </c>
      <c r="F153" s="53">
        <f t="shared" si="8"/>
        <v>147</v>
      </c>
      <c r="G153" s="95" t="str">
        <f>IF(((IFERROR(VLOOKUP($B153,'Main Table'!$I$10:$I$555,1,FALSE),"X"))="X"),"","X")</f>
        <v/>
      </c>
      <c r="H153" s="95" t="str">
        <f>IF(((IFERROR(VLOOKUP($B153,'Main Table'!$M$10:$M$555,1,FALSE),"X"))="X"),"","X")</f>
        <v/>
      </c>
      <c r="I153" s="95" t="str">
        <f>IF(((IFERROR(VLOOKUP($B153,'Main Table'!$Q$10:$Q$555,1,FALSE),"X"))="X"),"","X")</f>
        <v/>
      </c>
      <c r="J153" s="95" t="str">
        <f>IF(((IFERROR(VLOOKUP($B153,'Critical Micelle Conc. (CMC)'!$P$9:$P$533,1,FALSE),"X"))="X"),"","X")</f>
        <v/>
      </c>
      <c r="K153" s="95" t="str">
        <f>IF(((IFERROR(VLOOKUP($B153,pKa!$J$8:$J$579,1,FALSE),"X"))="X"),"","X")</f>
        <v/>
      </c>
      <c r="L153" s="95" t="str">
        <f>IF(((IFERROR(VLOOKUP($B153,'Vapor Pressure (VP)'!$N$9:$N$603,1,FALSE),"X"))="X"),"","X")</f>
        <v/>
      </c>
      <c r="M153" s="95" t="str">
        <f>IF(((IFERROR(VLOOKUP($B153,'Solubility (S)'!$P$9:$P$598,1,FALSE),"X"))="X"),"","X")</f>
        <v/>
      </c>
      <c r="N153" s="95" t="str">
        <f>IF(((IFERROR(VLOOKUP($B153,'Henry''s Constant (KH)'!$O$9:$O$527,1,FALSE),"X"))="X"),"","X")</f>
        <v/>
      </c>
      <c r="O153" s="95" t="str">
        <f>IF(((IFERROR(VLOOKUP($B153,'Log Koc'!$H$8:$H$553,1,FALSE),"X"))="X"),"","X")</f>
        <v/>
      </c>
      <c r="P153" s="95" t="str">
        <f>IF(((IFERROR(VLOOKUP($B153,Biotransformation!$T$23:$T$396,1,FALSE),"X"))="X"),"","X")</f>
        <v>X</v>
      </c>
      <c r="Q153"/>
    </row>
    <row r="154" spans="1:17" s="52" customFormat="1" ht="64" x14ac:dyDescent="0.2">
      <c r="A154" s="274">
        <f t="shared" si="10"/>
        <v>148</v>
      </c>
      <c r="B154" s="386" t="s">
        <v>1037</v>
      </c>
      <c r="C154" s="33" t="s">
        <v>1353</v>
      </c>
      <c r="D154" s="380" t="s">
        <v>1554</v>
      </c>
      <c r="E154" s="382" t="s">
        <v>1555</v>
      </c>
      <c r="F154" s="53">
        <f t="shared" si="8"/>
        <v>148</v>
      </c>
      <c r="G154" s="95" t="str">
        <f>IF(((IFERROR(VLOOKUP($B154,'Main Table'!$I$10:$I$555,1,FALSE),"X"))="X"),"","X")</f>
        <v/>
      </c>
      <c r="H154" s="95" t="str">
        <f>IF(((IFERROR(VLOOKUP($B154,'Main Table'!$M$10:$M$555,1,FALSE),"X"))="X"),"","X")</f>
        <v/>
      </c>
      <c r="I154" s="95" t="str">
        <f>IF(((IFERROR(VLOOKUP($B154,'Main Table'!$Q$10:$Q$555,1,FALSE),"X"))="X"),"","X")</f>
        <v/>
      </c>
      <c r="J154" s="95" t="str">
        <f>IF(((IFERROR(VLOOKUP($B154,'Critical Micelle Conc. (CMC)'!$P$9:$P$533,1,FALSE),"X"))="X"),"","X")</f>
        <v/>
      </c>
      <c r="K154" s="95" t="str">
        <f>IF(((IFERROR(VLOOKUP($B154,pKa!$J$8:$J$579,1,FALSE),"X"))="X"),"","X")</f>
        <v/>
      </c>
      <c r="L154" s="95" t="str">
        <f>IF(((IFERROR(VLOOKUP($B154,'Vapor Pressure (VP)'!$N$9:$N$603,1,FALSE),"X"))="X"),"","X")</f>
        <v/>
      </c>
      <c r="M154" s="95" t="str">
        <f>IF(((IFERROR(VLOOKUP($B154,'Solubility (S)'!$P$9:$P$598,1,FALSE),"X"))="X"),"","X")</f>
        <v/>
      </c>
      <c r="N154" s="95" t="str">
        <f>IF(((IFERROR(VLOOKUP($B154,'Henry''s Constant (KH)'!$O$9:$O$527,1,FALSE),"X"))="X"),"","X")</f>
        <v/>
      </c>
      <c r="O154" s="95" t="str">
        <f>IF(((IFERROR(VLOOKUP($B154,'Log Koc'!$H$8:$H$553,1,FALSE),"X"))="X"),"","X")</f>
        <v/>
      </c>
      <c r="P154" s="95" t="str">
        <f>IF(((IFERROR(VLOOKUP($B154,Biotransformation!$T$23:$T$396,1,FALSE),"X"))="X"),"","X")</f>
        <v>X</v>
      </c>
      <c r="Q154"/>
    </row>
    <row r="155" spans="1:17" s="52" customFormat="1" ht="96" x14ac:dyDescent="0.2">
      <c r="A155" s="274">
        <f t="shared" si="10"/>
        <v>149</v>
      </c>
      <c r="B155" s="386" t="s">
        <v>1180</v>
      </c>
      <c r="C155" s="33" t="s">
        <v>1353</v>
      </c>
      <c r="D155" s="380" t="s">
        <v>1556</v>
      </c>
      <c r="E155" s="382"/>
      <c r="F155" s="53">
        <f t="shared" si="8"/>
        <v>149</v>
      </c>
      <c r="G155" s="95" t="str">
        <f>IF(((IFERROR(VLOOKUP($B155,'Main Table'!$I$10:$I$555,1,FALSE),"X"))="X"),"","X")</f>
        <v/>
      </c>
      <c r="H155" s="95" t="str">
        <f>IF(((IFERROR(VLOOKUP($B155,'Main Table'!$M$10:$M$555,1,FALSE),"X"))="X"),"","X")</f>
        <v/>
      </c>
      <c r="I155" s="95" t="str">
        <f>IF(((IFERROR(VLOOKUP($B155,'Main Table'!$Q$10:$Q$555,1,FALSE),"X"))="X"),"","X")</f>
        <v/>
      </c>
      <c r="J155" s="95" t="str">
        <f>IF(((IFERROR(VLOOKUP($B155,'Critical Micelle Conc. (CMC)'!$P$9:$P$533,1,FALSE),"X"))="X"),"","X")</f>
        <v/>
      </c>
      <c r="K155" s="95" t="str">
        <f>IF(((IFERROR(VLOOKUP($B155,pKa!$J$8:$J$579,1,FALSE),"X"))="X"),"","X")</f>
        <v/>
      </c>
      <c r="L155" s="95" t="str">
        <f>IF(((IFERROR(VLOOKUP($B155,'Vapor Pressure (VP)'!$N$9:$N$603,1,FALSE),"X"))="X"),"","X")</f>
        <v/>
      </c>
      <c r="M155" s="95" t="str">
        <f>IF(((IFERROR(VLOOKUP($B155,'Solubility (S)'!$P$9:$P$598,1,FALSE),"X"))="X"),"","X")</f>
        <v/>
      </c>
      <c r="N155" s="95" t="str">
        <f>IF(((IFERROR(VLOOKUP($B155,'Henry''s Constant (KH)'!$O$9:$O$527,1,FALSE),"X"))="X"),"","X")</f>
        <v/>
      </c>
      <c r="O155" s="95" t="str">
        <f>IF(((IFERROR(VLOOKUP($B155,'Log Koc'!$H$8:$H$553,1,FALSE),"X"))="X"),"","X")</f>
        <v/>
      </c>
      <c r="P155" s="95" t="str">
        <f>IF(((IFERROR(VLOOKUP($B155,Biotransformation!$T$23:$T$396,1,FALSE),"X"))="X"),"","X")</f>
        <v>X</v>
      </c>
      <c r="Q155"/>
    </row>
    <row r="156" spans="1:17" s="52" customFormat="1" ht="48" x14ac:dyDescent="0.2">
      <c r="A156" s="811">
        <f t="shared" si="10"/>
        <v>150</v>
      </c>
      <c r="B156" s="812" t="s">
        <v>55</v>
      </c>
      <c r="C156" s="471" t="s">
        <v>1353</v>
      </c>
      <c r="D156" s="813" t="s">
        <v>1557</v>
      </c>
      <c r="E156" s="411"/>
      <c r="F156" s="808">
        <f t="shared" si="8"/>
        <v>150</v>
      </c>
      <c r="G156" s="809" t="str">
        <f>IF(((IFERROR(VLOOKUP($B156,'Main Table'!$I$10:$I$555,1,FALSE),"X"))="X"),"","X")</f>
        <v/>
      </c>
      <c r="H156" s="809" t="str">
        <f>IF(((IFERROR(VLOOKUP($B156,'Main Table'!$M$10:$M$555,1,FALSE),"X"))="X"),"","X")</f>
        <v>X</v>
      </c>
      <c r="I156" s="809" t="str">
        <f>IF(((IFERROR(VLOOKUP($B156,'Main Table'!$Q$10:$Q$555,1,FALSE),"X"))="X"),"","X")</f>
        <v/>
      </c>
      <c r="J156" s="809" t="str">
        <f>IF(((IFERROR(VLOOKUP($B156,'Critical Micelle Conc. (CMC)'!$P$9:$P$533,1,FALSE),"X"))="X"),"","X")</f>
        <v/>
      </c>
      <c r="K156" s="809" t="str">
        <f>IF(((IFERROR(VLOOKUP($B156,pKa!$J$8:$J$579,1,FALSE),"X"))="X"),"","X")</f>
        <v/>
      </c>
      <c r="L156" s="809" t="str">
        <f>IF(((IFERROR(VLOOKUP($B156,'Vapor Pressure (VP)'!$N$9:$N$603,1,FALSE),"X"))="X"),"","X")</f>
        <v>X</v>
      </c>
      <c r="M156" s="809" t="str">
        <f>IF(((IFERROR(VLOOKUP($B156,'Solubility (S)'!$P$9:$P$598,1,FALSE),"X"))="X"),"","X")</f>
        <v/>
      </c>
      <c r="N156" s="809" t="str">
        <f>IF(((IFERROR(VLOOKUP($B156,'Henry''s Constant (KH)'!$O$9:$O$527,1,FALSE),"X"))="X"),"","X")</f>
        <v/>
      </c>
      <c r="O156" s="809" t="str">
        <f>IF(((IFERROR(VLOOKUP($B156,'Log Koc'!$H$8:$H$553,1,FALSE),"X"))="X"),"","X")</f>
        <v/>
      </c>
      <c r="P156" s="809" t="str">
        <f>IF(((IFERROR(VLOOKUP($B156,Biotransformation!$T$23:$T$396,1,FALSE),"X"))="X"),"","X")</f>
        <v/>
      </c>
      <c r="Q156"/>
    </row>
    <row r="157" spans="1:17" s="52" customFormat="1" ht="64" x14ac:dyDescent="0.2">
      <c r="A157" s="274">
        <f t="shared" si="10"/>
        <v>151</v>
      </c>
      <c r="B157" s="32" t="s">
        <v>683</v>
      </c>
      <c r="C157" s="33" t="s">
        <v>1353</v>
      </c>
      <c r="D157" s="35" t="s">
        <v>1558</v>
      </c>
      <c r="E157" s="34" t="s">
        <v>1559</v>
      </c>
      <c r="F157" s="53">
        <f t="shared" si="8"/>
        <v>151</v>
      </c>
      <c r="G157" s="95" t="str">
        <f>IF(((IFERROR(VLOOKUP($B157,'Main Table'!$I$10:$I$555,1,FALSE),"X"))="X"),"","X")</f>
        <v/>
      </c>
      <c r="H157" s="95" t="str">
        <f>IF(((IFERROR(VLOOKUP($B157,'Main Table'!$M$10:$M$555,1,FALSE),"X"))="X"),"","X")</f>
        <v/>
      </c>
      <c r="I157" s="95" t="str">
        <f>IF(((IFERROR(VLOOKUP($B157,'Main Table'!$Q$10:$Q$555,1,FALSE),"X"))="X"),"","X")</f>
        <v/>
      </c>
      <c r="J157" s="95" t="str">
        <f>IF(((IFERROR(VLOOKUP($B157,'Critical Micelle Conc. (CMC)'!$P$9:$P$533,1,FALSE),"X"))="X"),"","X")</f>
        <v/>
      </c>
      <c r="K157" s="95" t="str">
        <f>IF(((IFERROR(VLOOKUP($B157,pKa!$J$8:$J$579,1,FALSE),"X"))="X"),"","X")</f>
        <v/>
      </c>
      <c r="L157" s="95" t="str">
        <f>IF(((IFERROR(VLOOKUP($B157,'Vapor Pressure (VP)'!$N$9:$N$603,1,FALSE),"X"))="X"),"","X")</f>
        <v/>
      </c>
      <c r="M157" s="95" t="str">
        <f>IF(((IFERROR(VLOOKUP($B157,'Solubility (S)'!$P$9:$P$598,1,FALSE),"X"))="X"),"","X")</f>
        <v/>
      </c>
      <c r="N157" s="95" t="str">
        <f>IF(((IFERROR(VLOOKUP($B157,'Henry''s Constant (KH)'!$O$9:$O$527,1,FALSE),"X"))="X"),"","X")</f>
        <v/>
      </c>
      <c r="O157" s="95" t="str">
        <f>IF(((IFERROR(VLOOKUP($B157,'Log Koc'!$H$8:$H$553,1,FALSE),"X"))="X"),"","X")</f>
        <v>X</v>
      </c>
      <c r="P157" s="95" t="str">
        <f>IF(((IFERROR(VLOOKUP($B157,Biotransformation!$T$23:$T$396,1,FALSE),"X"))="X"),"","X")</f>
        <v/>
      </c>
      <c r="Q157"/>
    </row>
    <row r="158" spans="1:17" s="52" customFormat="1" ht="64" x14ac:dyDescent="0.2">
      <c r="A158" s="274">
        <f t="shared" si="10"/>
        <v>152</v>
      </c>
      <c r="B158" s="32" t="s">
        <v>1119</v>
      </c>
      <c r="C158" s="33" t="s">
        <v>1353</v>
      </c>
      <c r="D158" s="519" t="s">
        <v>1560</v>
      </c>
      <c r="E158" s="34"/>
      <c r="F158" s="53">
        <f t="shared" si="8"/>
        <v>152</v>
      </c>
      <c r="G158" s="95" t="str">
        <f>IF(((IFERROR(VLOOKUP($B158,'Main Table'!$I$10:$I$555,1,FALSE),"X"))="X"),"","X")</f>
        <v/>
      </c>
      <c r="H158" s="95" t="str">
        <f>IF(((IFERROR(VLOOKUP($B158,'Main Table'!$M$10:$M$555,1,FALSE),"X"))="X"),"","X")</f>
        <v/>
      </c>
      <c r="I158" s="95" t="str">
        <f>IF(((IFERROR(VLOOKUP($B158,'Main Table'!$Q$10:$Q$555,1,FALSE),"X"))="X"),"","X")</f>
        <v/>
      </c>
      <c r="J158" s="95" t="str">
        <f>IF(((IFERROR(VLOOKUP($B158,'Critical Micelle Conc. (CMC)'!$P$9:$P$533,1,FALSE),"X"))="X"),"","X")</f>
        <v/>
      </c>
      <c r="K158" s="95" t="str">
        <f>IF(((IFERROR(VLOOKUP($B158,pKa!$J$8:$J$579,1,FALSE),"X"))="X"),"","X")</f>
        <v/>
      </c>
      <c r="L158" s="95" t="str">
        <f>IF(((IFERROR(VLOOKUP($B158,'Vapor Pressure (VP)'!$N$9:$N$603,1,FALSE),"X"))="X"),"","X")</f>
        <v/>
      </c>
      <c r="M158" s="95" t="str">
        <f>IF(((IFERROR(VLOOKUP($B158,'Solubility (S)'!$P$9:$P$598,1,FALSE),"X"))="X"),"","X")</f>
        <v/>
      </c>
      <c r="N158" s="95" t="str">
        <f>IF(((IFERROR(VLOOKUP($B158,'Henry''s Constant (KH)'!$O$9:$O$527,1,FALSE),"X"))="X"),"","X")</f>
        <v/>
      </c>
      <c r="O158" s="95" t="str">
        <f>IF(((IFERROR(VLOOKUP($B158,'Log Koc'!$H$8:$H$553,1,FALSE),"X"))="X"),"","X")</f>
        <v/>
      </c>
      <c r="P158" s="95" t="str">
        <f>IF(((IFERROR(VLOOKUP($B158,Biotransformation!$T$23:$T$396,1,FALSE),"X"))="X"),"","X")</f>
        <v>X</v>
      </c>
      <c r="Q158"/>
    </row>
    <row r="159" spans="1:17" s="52" customFormat="1" x14ac:dyDescent="0.2">
      <c r="A159" s="532"/>
      <c r="B159" s="583"/>
      <c r="C159" s="395"/>
      <c r="D159" s="532"/>
      <c r="E159" s="583"/>
      <c r="F159" s="58">
        <f t="shared" si="8"/>
        <v>0</v>
      </c>
      <c r="G159" s="532"/>
      <c r="H159" s="532"/>
      <c r="I159" s="532"/>
      <c r="J159" s="532"/>
      <c r="K159" s="532"/>
      <c r="L159" s="810" t="str">
        <f>IF(((IFERROR(VLOOKUP($B159,'Vapor Pressure (VP)'!$N$20:$N$603,1,FALSE),"X"))="X"),"","X")</f>
        <v/>
      </c>
      <c r="M159" s="810" t="str">
        <f>IF(((IFERROR(VLOOKUP($B159,'Solubility (S)'!$P$16:$P$598,1,FALSE),"X"))="X"),"","X")</f>
        <v/>
      </c>
      <c r="N159" s="532"/>
      <c r="O159" s="532"/>
      <c r="P159" s="810" t="str">
        <f>IF(((IFERROR(VLOOKUP($B159,Biotransformation!$T$23:$T$396,1,FALSE),"X"))="X"),"","X")</f>
        <v/>
      </c>
      <c r="Q159" s="532"/>
    </row>
    <row r="160" spans="1:17" s="52" customFormat="1" x14ac:dyDescent="0.2">
      <c r="A160" s="532"/>
      <c r="B160" s="583"/>
      <c r="C160" s="395"/>
      <c r="D160" s="532"/>
      <c r="E160" s="583"/>
      <c r="F160" s="58">
        <f t="shared" si="8"/>
        <v>0</v>
      </c>
      <c r="G160" s="532"/>
      <c r="H160" s="532"/>
      <c r="I160" s="532"/>
      <c r="J160" s="532"/>
      <c r="K160" s="532"/>
      <c r="L160" s="810" t="str">
        <f>IF(((IFERROR(VLOOKUP($B160,'Vapor Pressure (VP)'!$N$20:$N$603,1,FALSE),"X"))="X"),"","X")</f>
        <v/>
      </c>
      <c r="M160" s="810" t="str">
        <f>IF(((IFERROR(VLOOKUP($B160,'Solubility (S)'!$P$16:$P$598,1,FALSE),"X"))="X"),"","X")</f>
        <v/>
      </c>
      <c r="N160" s="532"/>
      <c r="O160" s="532"/>
      <c r="P160" s="810" t="str">
        <f>IF(((IFERROR(VLOOKUP($B160,Biotransformation!$T$23:$T$396,1,FALSE),"X"))="X"),"","X")</f>
        <v/>
      </c>
      <c r="Q160" s="532"/>
    </row>
    <row r="161" spans="1:17" s="52" customFormat="1" x14ac:dyDescent="0.2">
      <c r="A161" s="532"/>
      <c r="B161" s="583"/>
      <c r="C161" s="395"/>
      <c r="D161" s="532"/>
      <c r="E161" s="583"/>
      <c r="F161" s="58">
        <f t="shared" si="8"/>
        <v>0</v>
      </c>
      <c r="G161" s="532"/>
      <c r="H161" s="532"/>
      <c r="I161" s="532"/>
      <c r="J161" s="532"/>
      <c r="K161" s="532"/>
      <c r="L161" s="810" t="str">
        <f>IF(((IFERROR(VLOOKUP($B161,'Vapor Pressure (VP)'!$N$20:$N$603,1,FALSE),"X"))="X"),"","X")</f>
        <v/>
      </c>
      <c r="M161" s="810" t="str">
        <f>IF(((IFERROR(VLOOKUP($B161,'Solubility (S)'!$P$16:$P$598,1,FALSE),"X"))="X"),"","X")</f>
        <v/>
      </c>
      <c r="N161" s="532"/>
      <c r="O161" s="532"/>
      <c r="P161" s="810" t="str">
        <f>IF(((IFERROR(VLOOKUP($B161,Biotransformation!$T$23:$T$396,1,FALSE),"X"))="X"),"","X")</f>
        <v/>
      </c>
      <c r="Q161" s="532"/>
    </row>
    <row r="162" spans="1:17" s="52" customFormat="1" x14ac:dyDescent="0.2">
      <c r="A162" s="532"/>
      <c r="B162" s="583"/>
      <c r="C162" s="395"/>
      <c r="D162" s="532"/>
      <c r="E162" s="583"/>
      <c r="F162" s="58">
        <f t="shared" si="8"/>
        <v>0</v>
      </c>
      <c r="G162" s="532"/>
      <c r="H162" s="532"/>
      <c r="I162" s="532"/>
      <c r="J162" s="532"/>
      <c r="K162" s="532"/>
      <c r="L162" s="810" t="str">
        <f>IF(((IFERROR(VLOOKUP($B162,'Vapor Pressure (VP)'!$N$20:$N$603,1,FALSE),"X"))="X"),"","X")</f>
        <v/>
      </c>
      <c r="M162" s="810" t="str">
        <f>IF(((IFERROR(VLOOKUP($B162,'Solubility (S)'!$P$16:$P$598,1,FALSE),"X"))="X"),"","X")</f>
        <v/>
      </c>
      <c r="N162" s="532"/>
      <c r="O162" s="532"/>
      <c r="P162" s="810" t="str">
        <f>IF(((IFERROR(VLOOKUP($B162,Biotransformation!$T$23:$T$396,1,FALSE),"X"))="X"),"","X")</f>
        <v/>
      </c>
      <c r="Q162" s="532"/>
    </row>
    <row r="163" spans="1:17" s="52" customFormat="1" x14ac:dyDescent="0.2">
      <c r="A163" s="532"/>
      <c r="B163" s="583"/>
      <c r="C163" s="395"/>
      <c r="D163" s="532"/>
      <c r="E163" s="583"/>
      <c r="F163" s="58">
        <f t="shared" si="8"/>
        <v>0</v>
      </c>
      <c r="G163" s="532"/>
      <c r="H163" s="532"/>
      <c r="I163" s="532"/>
      <c r="J163" s="532"/>
      <c r="K163" s="532"/>
      <c r="L163" s="810" t="str">
        <f>IF(((IFERROR(VLOOKUP($B163,'Vapor Pressure (VP)'!$N$20:$N$603,1,FALSE),"X"))="X"),"","X")</f>
        <v/>
      </c>
      <c r="M163" s="810" t="str">
        <f>IF(((IFERROR(VLOOKUP($B163,'Solubility (S)'!$P$16:$P$598,1,FALSE),"X"))="X"),"","X")</f>
        <v/>
      </c>
      <c r="N163" s="532"/>
      <c r="O163" s="532"/>
      <c r="P163" s="810" t="str">
        <f>IF(((IFERROR(VLOOKUP($B163,Biotransformation!$T$23:$T$396,1,FALSE),"X"))="X"),"","X")</f>
        <v/>
      </c>
      <c r="Q163" s="532"/>
    </row>
    <row r="164" spans="1:17" s="52" customFormat="1" x14ac:dyDescent="0.2">
      <c r="A164" s="532"/>
      <c r="B164" s="583"/>
      <c r="C164" s="395"/>
      <c r="D164" s="532"/>
      <c r="E164" s="583"/>
      <c r="F164" s="58">
        <f t="shared" si="8"/>
        <v>0</v>
      </c>
      <c r="G164" s="532"/>
      <c r="H164" s="532"/>
      <c r="I164" s="532"/>
      <c r="J164" s="532"/>
      <c r="K164" s="532"/>
      <c r="L164" s="810" t="str">
        <f>IF(((IFERROR(VLOOKUP($B164,'Vapor Pressure (VP)'!$N$20:$N$603,1,FALSE),"X"))="X"),"","X")</f>
        <v/>
      </c>
      <c r="M164" s="810" t="str">
        <f>IF(((IFERROR(VLOOKUP($B164,'Solubility (S)'!$P$16:$P$598,1,FALSE),"X"))="X"),"","X")</f>
        <v/>
      </c>
      <c r="N164" s="532"/>
      <c r="O164" s="532"/>
      <c r="P164" s="810" t="str">
        <f>IF(((IFERROR(VLOOKUP($B164,Biotransformation!$T$23:$T$396,1,FALSE),"X"))="X"),"","X")</f>
        <v/>
      </c>
      <c r="Q164" s="532"/>
    </row>
    <row r="165" spans="1:17" s="52" customFormat="1" x14ac:dyDescent="0.2">
      <c r="A165" s="532"/>
      <c r="B165" s="583"/>
      <c r="C165" s="395"/>
      <c r="D165" s="532"/>
      <c r="E165" s="583"/>
      <c r="F165" s="58">
        <f t="shared" si="8"/>
        <v>0</v>
      </c>
      <c r="G165" s="532"/>
      <c r="H165" s="532"/>
      <c r="I165" s="532"/>
      <c r="J165" s="532"/>
      <c r="K165" s="532"/>
      <c r="L165" s="810" t="str">
        <f>IF(((IFERROR(VLOOKUP($B165,'Vapor Pressure (VP)'!$N$20:$N$603,1,FALSE),"X"))="X"),"","X")</f>
        <v/>
      </c>
      <c r="M165" s="810" t="str">
        <f>IF(((IFERROR(VLOOKUP($B165,'Solubility (S)'!$P$16:$P$598,1,FALSE),"X"))="X"),"","X")</f>
        <v/>
      </c>
      <c r="N165" s="532"/>
      <c r="O165" s="532"/>
      <c r="P165" s="810" t="str">
        <f>IF(((IFERROR(VLOOKUP($B165,Biotransformation!$T$23:$T$396,1,FALSE),"X"))="X"),"","X")</f>
        <v/>
      </c>
      <c r="Q165" s="532"/>
    </row>
    <row r="166" spans="1:17" s="52" customFormat="1" x14ac:dyDescent="0.2">
      <c r="A166" s="532"/>
      <c r="B166" s="583"/>
      <c r="C166" s="395"/>
      <c r="D166" s="532"/>
      <c r="E166" s="583"/>
      <c r="F166" s="58">
        <f t="shared" si="8"/>
        <v>0</v>
      </c>
      <c r="G166" s="532"/>
      <c r="H166" s="532"/>
      <c r="I166" s="532"/>
      <c r="J166" s="532"/>
      <c r="K166" s="532"/>
      <c r="L166" s="810" t="str">
        <f>IF(((IFERROR(VLOOKUP($B166,'Vapor Pressure (VP)'!$N$20:$N$603,1,FALSE),"X"))="X"),"","X")</f>
        <v/>
      </c>
      <c r="M166" s="810" t="str">
        <f>IF(((IFERROR(VLOOKUP($B166,'Solubility (S)'!$P$16:$P$598,1,FALSE),"X"))="X"),"","X")</f>
        <v/>
      </c>
      <c r="N166" s="532"/>
      <c r="O166" s="532"/>
      <c r="P166" s="810" t="str">
        <f>IF(((IFERROR(VLOOKUP($B166,Biotransformation!$T$23:$T$396,1,FALSE),"X"))="X"),"","X")</f>
        <v/>
      </c>
      <c r="Q166" s="532"/>
    </row>
    <row r="167" spans="1:17" s="52" customFormat="1" x14ac:dyDescent="0.2">
      <c r="A167" s="532"/>
      <c r="B167" s="583"/>
      <c r="C167" s="395"/>
      <c r="D167" s="532"/>
      <c r="E167" s="583"/>
      <c r="F167" s="58">
        <f t="shared" si="8"/>
        <v>0</v>
      </c>
      <c r="G167" s="532"/>
      <c r="H167" s="532"/>
      <c r="I167" s="532"/>
      <c r="J167" s="532"/>
      <c r="K167" s="532"/>
      <c r="L167" s="810" t="str">
        <f>IF(((IFERROR(VLOOKUP($B167,'Vapor Pressure (VP)'!$N$20:$N$603,1,FALSE),"X"))="X"),"","X")</f>
        <v/>
      </c>
      <c r="M167" s="810" t="str">
        <f>IF(((IFERROR(VLOOKUP($B167,'Solubility (S)'!$P$16:$P$598,1,FALSE),"X"))="X"),"","X")</f>
        <v/>
      </c>
      <c r="N167" s="532"/>
      <c r="O167" s="532"/>
      <c r="P167" s="810" t="str">
        <f>IF(((IFERROR(VLOOKUP($B167,Biotransformation!$T$23:$T$396,1,FALSE),"X"))="X"),"","X")</f>
        <v/>
      </c>
      <c r="Q167" s="532"/>
    </row>
    <row r="168" spans="1:17" s="52" customFormat="1" x14ac:dyDescent="0.2">
      <c r="A168" s="532"/>
      <c r="B168" s="583"/>
      <c r="C168" s="395"/>
      <c r="D168" s="532"/>
      <c r="E168" s="583"/>
      <c r="F168" s="58">
        <f t="shared" si="8"/>
        <v>0</v>
      </c>
      <c r="G168" s="532"/>
      <c r="H168" s="532"/>
      <c r="I168" s="532"/>
      <c r="J168" s="532"/>
      <c r="K168" s="532"/>
      <c r="L168" s="810" t="str">
        <f>IF(((IFERROR(VLOOKUP($B168,'Vapor Pressure (VP)'!$N$20:$N$603,1,FALSE),"X"))="X"),"","X")</f>
        <v/>
      </c>
      <c r="M168" s="810" t="str">
        <f>IF(((IFERROR(VLOOKUP($B168,'Solubility (S)'!$P$16:$P$598,1,FALSE),"X"))="X"),"","X")</f>
        <v/>
      </c>
      <c r="N168" s="532"/>
      <c r="O168" s="532"/>
      <c r="P168" s="810" t="str">
        <f>IF(((IFERROR(VLOOKUP($B168,Biotransformation!$T$23:$T$396,1,FALSE),"X"))="X"),"","X")</f>
        <v/>
      </c>
      <c r="Q168" s="532"/>
    </row>
    <row r="169" spans="1:17" s="52" customFormat="1" x14ac:dyDescent="0.2">
      <c r="A169" s="532"/>
      <c r="B169" s="583"/>
      <c r="C169" s="395"/>
      <c r="D169" s="532"/>
      <c r="E169" s="583"/>
      <c r="F169" s="58">
        <f t="shared" si="8"/>
        <v>0</v>
      </c>
      <c r="G169" s="532"/>
      <c r="H169" s="532"/>
      <c r="I169" s="532"/>
      <c r="J169" s="532"/>
      <c r="K169" s="532"/>
      <c r="L169" s="810" t="str">
        <f>IF(((IFERROR(VLOOKUP($B169,'Vapor Pressure (VP)'!$N$20:$N$603,1,FALSE),"X"))="X"),"","X")</f>
        <v/>
      </c>
      <c r="M169" s="810" t="str">
        <f>IF(((IFERROR(VLOOKUP($B169,'Solubility (S)'!$P$16:$P$598,1,FALSE),"X"))="X"),"","X")</f>
        <v/>
      </c>
      <c r="N169" s="532"/>
      <c r="O169" s="532"/>
      <c r="P169" s="810" t="str">
        <f>IF(((IFERROR(VLOOKUP($B169,Biotransformation!$T$23:$T$396,1,FALSE),"X"))="X"),"","X")</f>
        <v/>
      </c>
      <c r="Q169" s="532"/>
    </row>
    <row r="170" spans="1:17" s="52" customFormat="1" x14ac:dyDescent="0.2">
      <c r="A170" s="532"/>
      <c r="B170" s="583"/>
      <c r="C170" s="395"/>
      <c r="D170" s="532"/>
      <c r="E170" s="583"/>
      <c r="F170" s="58">
        <f t="shared" si="8"/>
        <v>0</v>
      </c>
      <c r="G170" s="532"/>
      <c r="H170" s="532"/>
      <c r="I170" s="532"/>
      <c r="J170" s="532"/>
      <c r="K170" s="532"/>
      <c r="L170" s="810" t="str">
        <f>IF(((IFERROR(VLOOKUP($B170,'Vapor Pressure (VP)'!$N$20:$N$603,1,FALSE),"X"))="X"),"","X")</f>
        <v/>
      </c>
      <c r="M170" s="810" t="str">
        <f>IF(((IFERROR(VLOOKUP($B170,'Solubility (S)'!$P$16:$P$598,1,FALSE),"X"))="X"),"","X")</f>
        <v/>
      </c>
      <c r="N170" s="532"/>
      <c r="O170" s="532"/>
      <c r="P170" s="810" t="str">
        <f>IF(((IFERROR(VLOOKUP($B170,Biotransformation!$T$23:$T$396,1,FALSE),"X"))="X"),"","X")</f>
        <v/>
      </c>
      <c r="Q170" s="532"/>
    </row>
    <row r="171" spans="1:17" s="52" customFormat="1" x14ac:dyDescent="0.2">
      <c r="A171" s="532"/>
      <c r="B171" s="583"/>
      <c r="C171" s="395"/>
      <c r="D171" s="532"/>
      <c r="E171" s="583"/>
      <c r="F171" s="58">
        <f t="shared" si="8"/>
        <v>0</v>
      </c>
      <c r="G171" s="532"/>
      <c r="H171" s="532"/>
      <c r="I171" s="532"/>
      <c r="J171" s="532"/>
      <c r="K171" s="532"/>
      <c r="L171" s="810" t="str">
        <f>IF(((IFERROR(VLOOKUP($B171,'Vapor Pressure (VP)'!$N$20:$N$603,1,FALSE),"X"))="X"),"","X")</f>
        <v/>
      </c>
      <c r="M171" s="810" t="str">
        <f>IF(((IFERROR(VLOOKUP($B171,'Solubility (S)'!$P$16:$P$598,1,FALSE),"X"))="X"),"","X")</f>
        <v/>
      </c>
      <c r="N171" s="532"/>
      <c r="O171" s="532"/>
      <c r="P171" s="810" t="str">
        <f>IF(((IFERROR(VLOOKUP($B171,Biotransformation!$T$23:$T$396,1,FALSE),"X"))="X"),"","X")</f>
        <v/>
      </c>
      <c r="Q171" s="532"/>
    </row>
    <row r="172" spans="1:17" s="52" customFormat="1" x14ac:dyDescent="0.2">
      <c r="A172" s="532"/>
      <c r="B172" s="583"/>
      <c r="C172" s="395"/>
      <c r="D172" s="532"/>
      <c r="E172" s="583"/>
      <c r="F172" s="58">
        <f t="shared" si="8"/>
        <v>0</v>
      </c>
      <c r="G172" s="532"/>
      <c r="H172" s="532"/>
      <c r="I172" s="532"/>
      <c r="J172" s="532"/>
      <c r="K172" s="532"/>
      <c r="L172" s="810" t="str">
        <f>IF(((IFERROR(VLOOKUP($B172,'Vapor Pressure (VP)'!$N$20:$N$603,1,FALSE),"X"))="X"),"","X")</f>
        <v/>
      </c>
      <c r="M172" s="810" t="str">
        <f>IF(((IFERROR(VLOOKUP($B172,'Solubility (S)'!$P$16:$P$598,1,FALSE),"X"))="X"),"","X")</f>
        <v/>
      </c>
      <c r="N172" s="532"/>
      <c r="O172" s="532"/>
      <c r="P172" s="810" t="str">
        <f>IF(((IFERROR(VLOOKUP($B172,Biotransformation!$T$23:$T$396,1,FALSE),"X"))="X"),"","X")</f>
        <v/>
      </c>
      <c r="Q172" s="532"/>
    </row>
    <row r="173" spans="1:17" s="52" customFormat="1" x14ac:dyDescent="0.2">
      <c r="A173" s="532"/>
      <c r="B173" s="583"/>
      <c r="C173" s="395"/>
      <c r="D173" s="532"/>
      <c r="E173" s="583"/>
      <c r="F173" s="58">
        <f t="shared" si="8"/>
        <v>0</v>
      </c>
      <c r="G173" s="532"/>
      <c r="H173" s="532"/>
      <c r="I173" s="532"/>
      <c r="J173" s="532"/>
      <c r="K173" s="532"/>
      <c r="L173" s="810" t="str">
        <f>IF(((IFERROR(VLOOKUP($B173,'Vapor Pressure (VP)'!$N$20:$N$603,1,FALSE),"X"))="X"),"","X")</f>
        <v/>
      </c>
      <c r="M173" s="810" t="str">
        <f>IF(((IFERROR(VLOOKUP($B173,'Solubility (S)'!$P$16:$P$598,1,FALSE),"X"))="X"),"","X")</f>
        <v/>
      </c>
      <c r="N173" s="532"/>
      <c r="O173" s="532"/>
      <c r="P173" s="810" t="str">
        <f>IF(((IFERROR(VLOOKUP($B173,Biotransformation!$T$23:$T$396,1,FALSE),"X"))="X"),"","X")</f>
        <v/>
      </c>
      <c r="Q173" s="532"/>
    </row>
    <row r="174" spans="1:17" x14ac:dyDescent="0.2">
      <c r="F174" s="58">
        <f t="shared" si="8"/>
        <v>0</v>
      </c>
      <c r="L174" s="810" t="str">
        <f>IF(((IFERROR(VLOOKUP($B174,'Vapor Pressure (VP)'!$N$20:$N$603,1,FALSE),"X"))="X"),"","X")</f>
        <v/>
      </c>
      <c r="M174" s="810" t="str">
        <f>IF(((IFERROR(VLOOKUP($B174,'Solubility (S)'!$P$16:$P$598,1,FALSE),"X"))="X"),"","X")</f>
        <v/>
      </c>
      <c r="P174" s="810" t="str">
        <f>IF(((IFERROR(VLOOKUP($B174,Biotransformation!$T$23:$T$396,1,FALSE),"X"))="X"),"","X")</f>
        <v/>
      </c>
    </row>
  </sheetData>
  <sheetProtection algorithmName="SHA-512" hashValue="7XtFfnnXvKkNJYF6OY/Qk4LlDo/UldId7BMcTaC2L/jOQqf+R9zl+1hqtCSf16cGsAlh3uOcM6/i0Wzo8mr9FQ==" saltValue="mzTf/nDPGFgvy0RtLfReuA==" spinCount="100000" sheet="1" objects="1" scenarios="1"/>
  <sortState xmlns:xlrd2="http://schemas.microsoft.com/office/spreadsheetml/2017/richdata2" ref="A7:Q153">
    <sortCondition ref="B7:B153"/>
  </sortState>
  <mergeCells count="2">
    <mergeCell ref="G5:O5"/>
    <mergeCell ref="A2:O2"/>
  </mergeCells>
  <conditionalFormatting sqref="C7:C135">
    <cfRule type="containsText" dxfId="1" priority="2" operator="containsText" text="Secondary">
      <formula>NOT(ISERROR(SEARCH("Secondary",C7)))</formula>
    </cfRule>
  </conditionalFormatting>
  <conditionalFormatting sqref="C146:C173">
    <cfRule type="containsText" dxfId="0" priority="1" operator="containsText" text="Secondary">
      <formula>NOT(ISERROR(SEARCH("Secondary",C146)))</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A16C7-A853-4730-8667-9F0402F01AC6}">
  <sheetPr codeName="Sheet10"/>
  <dimension ref="A1:C3"/>
  <sheetViews>
    <sheetView workbookViewId="0">
      <selection activeCell="A5" sqref="A5"/>
    </sheetView>
  </sheetViews>
  <sheetFormatPr baseColWidth="10" defaultColWidth="9" defaultRowHeight="15" x14ac:dyDescent="0.2"/>
  <cols>
    <col min="1" max="1" width="9" style="110"/>
    <col min="2" max="2" width="10.6640625" style="110" bestFit="1" customWidth="1"/>
    <col min="3" max="3" width="16.1640625" style="110" customWidth="1"/>
    <col min="4" max="16384" width="9" style="110"/>
  </cols>
  <sheetData>
    <row r="1" spans="1:3" x14ac:dyDescent="0.2">
      <c r="A1" s="114" t="s">
        <v>1561</v>
      </c>
      <c r="B1" s="114" t="s">
        <v>1562</v>
      </c>
      <c r="C1" s="114" t="s">
        <v>1563</v>
      </c>
    </row>
    <row r="2" spans="1:3" x14ac:dyDescent="0.2">
      <c r="A2" s="115" t="s">
        <v>1564</v>
      </c>
      <c r="B2" s="111" t="s">
        <v>1565</v>
      </c>
      <c r="C2" s="112">
        <v>8.2057366080959995E-2</v>
      </c>
    </row>
    <row r="3" spans="1:3" x14ac:dyDescent="0.2">
      <c r="A3" s="115" t="s">
        <v>1564</v>
      </c>
      <c r="B3" s="110" t="s">
        <v>1566</v>
      </c>
      <c r="C3" s="114">
        <v>8314.4626181532403</v>
      </c>
    </row>
  </sheetData>
  <sheetProtection algorithmName="SHA-512" hashValue="RQJo70gUlDBuJ+Lyw7Bqe5b9sMbL2kk/gKqifbOFIS5eNN8gB9o9Udcnm8gjQw9c3r5MTwj5e3RWlPPThx+BPw==" saltValue="Q+JZBVVQyMwXIrEiLdyFL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AD170"/>
  <sheetViews>
    <sheetView zoomScale="110" zoomScaleNormal="110" workbookViewId="0">
      <pane xSplit="2" ySplit="7" topLeftCell="C8" activePane="bottomRight" state="frozen"/>
      <selection pane="topRight" activeCell="C1" sqref="C1"/>
      <selection pane="bottomLeft" activeCell="A7" sqref="A7"/>
      <selection pane="bottomRight" activeCell="A3" sqref="A3"/>
    </sheetView>
  </sheetViews>
  <sheetFormatPr baseColWidth="10" defaultColWidth="10.6640625" defaultRowHeight="15" x14ac:dyDescent="0.2"/>
  <cols>
    <col min="1" max="1" width="35.1640625" style="2" customWidth="1"/>
    <col min="2" max="2" width="14.1640625" style="3" customWidth="1"/>
    <col min="3" max="3" width="8.6640625" style="2" customWidth="1"/>
    <col min="4" max="4" width="27.5" style="2" customWidth="1"/>
    <col min="5" max="5" width="13.1640625" style="2" customWidth="1"/>
    <col min="6" max="6" width="10.83203125" style="3" customWidth="1"/>
    <col min="7" max="7" width="6.6640625" style="3" customWidth="1"/>
    <col min="8" max="8" width="6.1640625" style="3" customWidth="1"/>
    <col min="9" max="9" width="16.6640625" style="29" hidden="1" customWidth="1"/>
    <col min="10" max="10" width="12.1640625" style="60" customWidth="1"/>
    <col min="11" max="11" width="11.5" style="3" customWidth="1"/>
    <col min="12" max="12" width="6.6640625" style="3" customWidth="1"/>
    <col min="13" max="13" width="16.6640625" style="29" hidden="1" customWidth="1"/>
    <col min="14" max="14" width="8.6640625" style="60" customWidth="1"/>
    <col min="15" max="15" width="11.1640625" style="3" customWidth="1"/>
    <col min="16" max="16" width="9.5" style="3" customWidth="1"/>
    <col min="17" max="17" width="22.6640625" style="29" hidden="1" customWidth="1"/>
    <col min="18" max="18" width="11.1640625" style="3" customWidth="1"/>
    <col min="19" max="19" width="18.1640625" style="2" customWidth="1"/>
    <col min="20" max="16384" width="10.6640625" style="2"/>
  </cols>
  <sheetData>
    <row r="1" spans="1:30" s="6" customFormat="1" ht="21" x14ac:dyDescent="0.25">
      <c r="A1" s="4" t="s">
        <v>6</v>
      </c>
      <c r="B1" s="5"/>
      <c r="F1" s="5"/>
      <c r="G1" s="5"/>
      <c r="H1" s="5"/>
      <c r="I1" s="28"/>
      <c r="J1" s="116"/>
      <c r="K1" s="5"/>
      <c r="L1" s="5"/>
      <c r="M1" s="28"/>
      <c r="N1" s="116"/>
      <c r="O1" s="5"/>
      <c r="P1" s="5"/>
      <c r="Q1" s="28"/>
      <c r="R1" s="5"/>
      <c r="S1" s="9"/>
    </row>
    <row r="2" spans="1:30" s="6" customFormat="1" ht="29.25" customHeight="1" x14ac:dyDescent="0.2">
      <c r="A2" s="855" t="s">
        <v>7</v>
      </c>
      <c r="B2" s="855"/>
      <c r="C2" s="855"/>
      <c r="D2" s="855"/>
      <c r="E2" s="855"/>
      <c r="F2" s="855"/>
      <c r="G2" s="855"/>
      <c r="H2" s="855"/>
      <c r="I2" s="855"/>
      <c r="J2" s="855"/>
      <c r="K2" s="855"/>
      <c r="L2" s="855"/>
      <c r="M2" s="855"/>
      <c r="N2" s="855"/>
      <c r="O2" s="855"/>
      <c r="P2" s="855"/>
      <c r="Q2" s="855"/>
      <c r="R2" s="855"/>
      <c r="S2" s="15"/>
      <c r="T2" s="528"/>
      <c r="U2" s="528"/>
      <c r="V2" s="528"/>
      <c r="W2" s="528"/>
      <c r="X2" s="528"/>
      <c r="Y2" s="528"/>
      <c r="Z2" s="528"/>
      <c r="AA2" s="528"/>
      <c r="AB2" s="528"/>
      <c r="AC2" s="528"/>
      <c r="AD2" s="528"/>
    </row>
    <row r="3" spans="1:30" x14ac:dyDescent="0.2">
      <c r="A3" s="13"/>
      <c r="S3" s="12"/>
    </row>
    <row r="4" spans="1:30" x14ac:dyDescent="0.2">
      <c r="A4" s="13"/>
      <c r="S4" s="12"/>
    </row>
    <row r="5" spans="1:30" ht="20" thickBot="1" x14ac:dyDescent="0.25">
      <c r="A5" s="117" t="s">
        <v>8</v>
      </c>
      <c r="S5" s="16"/>
    </row>
    <row r="6" spans="1:30" ht="19.25" customHeight="1" thickBot="1" x14ac:dyDescent="0.3">
      <c r="A6" s="856" t="s">
        <v>9</v>
      </c>
      <c r="B6" s="858" t="s">
        <v>10</v>
      </c>
      <c r="C6" s="858" t="s">
        <v>11</v>
      </c>
      <c r="D6" s="858" t="s">
        <v>12</v>
      </c>
      <c r="E6" s="858" t="s">
        <v>13</v>
      </c>
      <c r="F6" s="860" t="s">
        <v>14</v>
      </c>
      <c r="G6" s="861"/>
      <c r="H6" s="861"/>
      <c r="I6" s="861"/>
      <c r="J6" s="863"/>
      <c r="K6" s="860" t="s">
        <v>15</v>
      </c>
      <c r="L6" s="861"/>
      <c r="M6" s="861"/>
      <c r="N6" s="863"/>
      <c r="O6" s="860" t="s">
        <v>16</v>
      </c>
      <c r="P6" s="861"/>
      <c r="Q6" s="861"/>
      <c r="R6" s="862"/>
      <c r="S6" s="17"/>
    </row>
    <row r="7" spans="1:30" s="18" customFormat="1" ht="62.75" customHeight="1" thickBot="1" x14ac:dyDescent="0.3">
      <c r="A7" s="857"/>
      <c r="B7" s="859"/>
      <c r="C7" s="859"/>
      <c r="D7" s="859"/>
      <c r="E7" s="859"/>
      <c r="F7" s="216" t="s">
        <v>17</v>
      </c>
      <c r="G7" s="217" t="s">
        <v>18</v>
      </c>
      <c r="H7" s="217" t="s">
        <v>19</v>
      </c>
      <c r="I7" s="218" t="s">
        <v>20</v>
      </c>
      <c r="J7" s="219" t="s">
        <v>21</v>
      </c>
      <c r="K7" s="216" t="s">
        <v>17</v>
      </c>
      <c r="L7" s="217" t="s">
        <v>18</v>
      </c>
      <c r="M7" s="218" t="s">
        <v>20</v>
      </c>
      <c r="N7" s="219" t="s">
        <v>21</v>
      </c>
      <c r="O7" s="216" t="s">
        <v>17</v>
      </c>
      <c r="P7" s="217" t="s">
        <v>18</v>
      </c>
      <c r="Q7" s="218" t="s">
        <v>20</v>
      </c>
      <c r="R7" s="275" t="s">
        <v>21</v>
      </c>
    </row>
    <row r="8" spans="1:30" s="18" customFormat="1" ht="18" customHeight="1" thickBot="1" x14ac:dyDescent="0.3">
      <c r="A8" s="417" t="s">
        <v>22</v>
      </c>
      <c r="B8" s="436" t="s">
        <v>23</v>
      </c>
      <c r="C8" s="529"/>
      <c r="D8" s="529"/>
      <c r="E8" s="529"/>
      <c r="F8" s="222"/>
      <c r="G8" s="222"/>
      <c r="H8" s="222"/>
      <c r="I8" s="418"/>
      <c r="J8" s="129"/>
      <c r="K8" s="222"/>
      <c r="L8" s="222"/>
      <c r="M8" s="418"/>
      <c r="N8" s="129"/>
      <c r="O8" s="222"/>
      <c r="P8" s="222"/>
      <c r="Q8" s="418"/>
      <c r="R8" s="280"/>
    </row>
    <row r="9" spans="1:30" s="18" customFormat="1" ht="18" customHeight="1" x14ac:dyDescent="0.25">
      <c r="A9" s="829" t="s">
        <v>24</v>
      </c>
      <c r="B9" s="831" t="s">
        <v>25</v>
      </c>
      <c r="C9" s="831">
        <v>114.02</v>
      </c>
      <c r="D9" s="831" t="s">
        <v>1567</v>
      </c>
      <c r="E9" s="831" t="s">
        <v>26</v>
      </c>
      <c r="F9" s="305">
        <v>1.4890000000000001</v>
      </c>
      <c r="G9" s="135" t="s">
        <v>27</v>
      </c>
      <c r="H9" s="135">
        <v>20</v>
      </c>
      <c r="I9" s="201" t="s">
        <v>28</v>
      </c>
      <c r="J9" s="226">
        <f>VLOOKUP(I9,References!$B$7:$F$252,5,FALSE)</f>
        <v>60</v>
      </c>
      <c r="K9" s="306" t="s">
        <v>29</v>
      </c>
      <c r="L9" s="135" t="s">
        <v>30</v>
      </c>
      <c r="M9" s="201" t="s">
        <v>31</v>
      </c>
      <c r="N9" s="226">
        <f>VLOOKUP(M9,References!$B$7:$F$252,5,FALSE)</f>
        <v>36</v>
      </c>
      <c r="O9" s="135">
        <v>72.400000000000006</v>
      </c>
      <c r="P9" s="135" t="s">
        <v>27</v>
      </c>
      <c r="Q9" s="201" t="s">
        <v>28</v>
      </c>
      <c r="R9" s="99">
        <f>VLOOKUP(Q9,References!$B$7:$F$252,5,FALSE)</f>
        <v>60</v>
      </c>
    </row>
    <row r="10" spans="1:30" s="18" customFormat="1" ht="18" customHeight="1" x14ac:dyDescent="0.25">
      <c r="A10" s="830"/>
      <c r="B10" s="832"/>
      <c r="C10" s="832"/>
      <c r="D10" s="832"/>
      <c r="E10" s="832"/>
      <c r="F10" s="307" t="s">
        <v>32</v>
      </c>
      <c r="G10" s="58" t="s">
        <v>30</v>
      </c>
      <c r="H10" s="58" t="s">
        <v>33</v>
      </c>
      <c r="I10" s="30" t="s">
        <v>31</v>
      </c>
      <c r="J10" s="58">
        <f>VLOOKUP(I10,References!$B$7:$F$252,5,FALSE)</f>
        <v>36</v>
      </c>
      <c r="K10" s="458" t="s">
        <v>34</v>
      </c>
      <c r="L10" s="58" t="s">
        <v>27</v>
      </c>
      <c r="M10" s="30" t="s">
        <v>31</v>
      </c>
      <c r="N10" s="58">
        <f>VLOOKUP(M10,References!$B$7:$F$252,5,FALSE)</f>
        <v>36</v>
      </c>
      <c r="O10" s="307" t="s">
        <v>35</v>
      </c>
      <c r="P10" s="58" t="s">
        <v>30</v>
      </c>
      <c r="Q10" s="30" t="s">
        <v>31</v>
      </c>
      <c r="R10" s="100">
        <f>VLOOKUP(Q10,References!$B$7:$F$252,5,FALSE)</f>
        <v>36</v>
      </c>
    </row>
    <row r="11" spans="1:30" s="18" customFormat="1" ht="18" customHeight="1" x14ac:dyDescent="0.25">
      <c r="A11" s="847"/>
      <c r="B11" s="834"/>
      <c r="C11" s="834"/>
      <c r="D11" s="834"/>
      <c r="E11" s="834"/>
      <c r="F11" s="267"/>
      <c r="G11" s="59"/>
      <c r="H11" s="59"/>
      <c r="I11" s="37"/>
      <c r="J11" s="56"/>
      <c r="K11" s="225"/>
      <c r="L11" s="59"/>
      <c r="M11" s="37"/>
      <c r="N11" s="56"/>
      <c r="O11" s="59" t="s">
        <v>36</v>
      </c>
      <c r="P11" s="59" t="s">
        <v>27</v>
      </c>
      <c r="Q11" s="37" t="s">
        <v>31</v>
      </c>
      <c r="R11" s="122">
        <f>VLOOKUP(Q11,References!$B$7:$F$252,5,FALSE)</f>
        <v>36</v>
      </c>
    </row>
    <row r="12" spans="1:30" s="18" customFormat="1" ht="18" customHeight="1" x14ac:dyDescent="0.25">
      <c r="A12" s="849" t="s">
        <v>37</v>
      </c>
      <c r="B12" s="833" t="s">
        <v>38</v>
      </c>
      <c r="C12" s="833">
        <v>163.02000000000001</v>
      </c>
      <c r="D12" s="833" t="s">
        <v>1568</v>
      </c>
      <c r="E12" s="833" t="s">
        <v>39</v>
      </c>
      <c r="F12" s="308">
        <v>1.5609999999999999</v>
      </c>
      <c r="G12" s="57" t="s">
        <v>27</v>
      </c>
      <c r="H12" s="57">
        <v>20</v>
      </c>
      <c r="I12" s="41" t="s">
        <v>28</v>
      </c>
      <c r="J12" s="57">
        <f>VLOOKUP(I12,References!$B$7:$F$252,5,FALSE)</f>
        <v>60</v>
      </c>
      <c r="K12" s="308">
        <v>-16</v>
      </c>
      <c r="L12" s="57" t="s">
        <v>30</v>
      </c>
      <c r="M12" s="41" t="s">
        <v>31</v>
      </c>
      <c r="N12" s="57">
        <f>VLOOKUP(M12,References!$B$7:$F$252,5,FALSE)</f>
        <v>36</v>
      </c>
      <c r="O12" s="460">
        <v>96</v>
      </c>
      <c r="P12" s="57" t="s">
        <v>27</v>
      </c>
      <c r="Q12" s="41" t="s">
        <v>28</v>
      </c>
      <c r="R12" s="121">
        <f>VLOOKUP(Q12,References!$B$7:$F$252,5,FALSE)</f>
        <v>60</v>
      </c>
    </row>
    <row r="13" spans="1:30" s="18" customFormat="1" ht="18" customHeight="1" x14ac:dyDescent="0.25">
      <c r="A13" s="847"/>
      <c r="B13" s="834"/>
      <c r="C13" s="834"/>
      <c r="D13" s="834"/>
      <c r="E13" s="834"/>
      <c r="F13" s="267">
        <v>1.64</v>
      </c>
      <c r="G13" s="59" t="s">
        <v>30</v>
      </c>
      <c r="H13" s="59" t="s">
        <v>33</v>
      </c>
      <c r="I13" s="37" t="s">
        <v>31</v>
      </c>
      <c r="J13" s="59">
        <f>VLOOKUP(I13,References!$B$7:$F$252,5,FALSE)</f>
        <v>36</v>
      </c>
      <c r="K13" s="267"/>
      <c r="L13" s="59"/>
      <c r="M13" s="37"/>
      <c r="N13" s="59"/>
      <c r="O13" s="457" t="s">
        <v>40</v>
      </c>
      <c r="P13" s="59" t="s">
        <v>30</v>
      </c>
      <c r="Q13" s="37" t="s">
        <v>31</v>
      </c>
      <c r="R13" s="122">
        <f>VLOOKUP(Q13,References!$B$7:$F$252,5,FALSE)</f>
        <v>36</v>
      </c>
    </row>
    <row r="14" spans="1:30" x14ac:dyDescent="0.2">
      <c r="A14" s="838" t="s">
        <v>41</v>
      </c>
      <c r="B14" s="832" t="s">
        <v>42</v>
      </c>
      <c r="C14" s="841">
        <v>214</v>
      </c>
      <c r="D14" s="832" t="s">
        <v>1569</v>
      </c>
      <c r="E14" s="832" t="s">
        <v>43</v>
      </c>
      <c r="F14" s="307">
        <v>1.651</v>
      </c>
      <c r="G14" s="58" t="s">
        <v>27</v>
      </c>
      <c r="H14" s="58">
        <v>20</v>
      </c>
      <c r="I14" s="30" t="s">
        <v>28</v>
      </c>
      <c r="J14" s="55">
        <f>VLOOKUP(I14,References!$B$7:$F$252,5,FALSE)</f>
        <v>60</v>
      </c>
      <c r="K14" s="220" t="s">
        <v>44</v>
      </c>
      <c r="L14" s="220" t="s">
        <v>27</v>
      </c>
      <c r="M14" s="30" t="s">
        <v>45</v>
      </c>
      <c r="N14" s="58">
        <f>VLOOKUP(M14,References!$B$7:$F$252,5,FALSE)</f>
        <v>10</v>
      </c>
      <c r="O14" s="307">
        <v>120</v>
      </c>
      <c r="P14" s="58" t="s">
        <v>27</v>
      </c>
      <c r="Q14" s="30" t="s">
        <v>28</v>
      </c>
      <c r="R14" s="100">
        <f>VLOOKUP(Q14,References!$B$7:$F$252,5,FALSE)</f>
        <v>60</v>
      </c>
    </row>
    <row r="15" spans="1:30" x14ac:dyDescent="0.2">
      <c r="A15" s="838"/>
      <c r="B15" s="832"/>
      <c r="C15" s="841"/>
      <c r="D15" s="832"/>
      <c r="E15" s="832"/>
      <c r="F15" s="307">
        <v>1.6060000000000001</v>
      </c>
      <c r="G15" s="58" t="s">
        <v>27</v>
      </c>
      <c r="H15" s="58">
        <v>40</v>
      </c>
      <c r="I15" s="30" t="s">
        <v>46</v>
      </c>
      <c r="J15" s="55">
        <f>VLOOKUP(I15,References!$B$7:$F$252,5,FALSE)</f>
        <v>118</v>
      </c>
      <c r="K15" s="220">
        <v>-19.95</v>
      </c>
      <c r="L15" s="220" t="s">
        <v>27</v>
      </c>
      <c r="M15" s="30" t="s">
        <v>47</v>
      </c>
      <c r="N15" s="58">
        <f>VLOOKUP(M15,References!$B$7:$F$252,5,FALSE)</f>
        <v>3</v>
      </c>
      <c r="O15" s="307">
        <v>121</v>
      </c>
      <c r="P15" s="58" t="s">
        <v>27</v>
      </c>
      <c r="Q15" s="30" t="s">
        <v>45</v>
      </c>
      <c r="R15" s="100">
        <f>VLOOKUP(Q15,References!$B$7:$F$305,5,FALSE)</f>
        <v>10</v>
      </c>
    </row>
    <row r="16" spans="1:30" x14ac:dyDescent="0.2">
      <c r="A16" s="838"/>
      <c r="B16" s="832"/>
      <c r="C16" s="841"/>
      <c r="D16" s="832"/>
      <c r="E16" s="832"/>
      <c r="F16" s="267" t="s">
        <v>48</v>
      </c>
      <c r="G16" s="59" t="s">
        <v>27</v>
      </c>
      <c r="H16" s="59" t="s">
        <v>49</v>
      </c>
      <c r="I16" s="37" t="s">
        <v>47</v>
      </c>
      <c r="J16" s="56">
        <f>VLOOKUP(I16,References!$B$7:$F$252,5,FALSE)</f>
        <v>3</v>
      </c>
      <c r="K16" s="220"/>
      <c r="L16" s="220"/>
      <c r="M16" s="38"/>
      <c r="N16" s="220"/>
      <c r="O16" s="307" t="s">
        <v>50</v>
      </c>
      <c r="P16" s="58" t="s">
        <v>27</v>
      </c>
      <c r="Q16" s="30" t="s">
        <v>47</v>
      </c>
      <c r="R16" s="122">
        <f>VLOOKUP(Q16,References!$B$7:$F$305,5,FALSE)</f>
        <v>3</v>
      </c>
    </row>
    <row r="17" spans="1:26" x14ac:dyDescent="0.2">
      <c r="A17" s="839" t="s">
        <v>51</v>
      </c>
      <c r="B17" s="833" t="s">
        <v>52</v>
      </c>
      <c r="C17" s="843">
        <v>264.10000000000002</v>
      </c>
      <c r="D17" s="833" t="s">
        <v>1570</v>
      </c>
      <c r="E17" s="833" t="s">
        <v>53</v>
      </c>
      <c r="F17" s="307">
        <v>1.7130000000000001</v>
      </c>
      <c r="G17" s="58" t="s">
        <v>27</v>
      </c>
      <c r="H17" s="58">
        <v>20</v>
      </c>
      <c r="I17" s="30" t="s">
        <v>28</v>
      </c>
      <c r="J17" s="58">
        <f>VLOOKUP(I17,References!$B$7:$F$252,5,FALSE)</f>
        <v>60</v>
      </c>
      <c r="K17" s="460" t="s">
        <v>54</v>
      </c>
      <c r="L17" s="57" t="s">
        <v>27</v>
      </c>
      <c r="M17" s="41" t="s">
        <v>55</v>
      </c>
      <c r="N17" s="54">
        <f>VLOOKUP(M17,References!$B$7:$F$252,5,FALSE)</f>
        <v>150</v>
      </c>
      <c r="O17" s="57">
        <v>139</v>
      </c>
      <c r="P17" s="57" t="s">
        <v>27</v>
      </c>
      <c r="Q17" s="41" t="s">
        <v>28</v>
      </c>
      <c r="R17" s="121">
        <f>VLOOKUP(Q17,References!$B$7:$F$252,5,FALSE)</f>
        <v>60</v>
      </c>
      <c r="T17" s="14"/>
    </row>
    <row r="18" spans="1:26" x14ac:dyDescent="0.2">
      <c r="A18" s="838"/>
      <c r="B18" s="832"/>
      <c r="C18" s="841"/>
      <c r="D18" s="832"/>
      <c r="E18" s="832"/>
      <c r="F18" s="307">
        <v>0.95099999999999996</v>
      </c>
      <c r="G18" s="58" t="s">
        <v>27</v>
      </c>
      <c r="H18" s="58" t="s">
        <v>33</v>
      </c>
      <c r="I18" s="30" t="s">
        <v>47</v>
      </c>
      <c r="J18" s="58">
        <f>VLOOKUP(I18,References!$B$7:$F$252,5,FALSE)</f>
        <v>3</v>
      </c>
      <c r="K18" s="267" t="s">
        <v>56</v>
      </c>
      <c r="L18" s="59" t="s">
        <v>30</v>
      </c>
      <c r="M18" s="37" t="s">
        <v>31</v>
      </c>
      <c r="N18" s="56">
        <f>VLOOKUP(M18,References!$B$7:$F$252,5,FALSE)</f>
        <v>36</v>
      </c>
      <c r="O18" s="58">
        <v>140</v>
      </c>
      <c r="P18" s="58" t="s">
        <v>27</v>
      </c>
      <c r="Q18" s="30" t="s">
        <v>47</v>
      </c>
      <c r="R18" s="122">
        <f>VLOOKUP(Q18,References!$B$7:$F$305,5,FALSE)</f>
        <v>3</v>
      </c>
      <c r="T18" s="14"/>
    </row>
    <row r="19" spans="1:26" ht="15" customHeight="1" x14ac:dyDescent="0.2">
      <c r="A19" s="839" t="s">
        <v>57</v>
      </c>
      <c r="B19" s="833" t="s">
        <v>58</v>
      </c>
      <c r="C19" s="833">
        <v>314.10000000000002</v>
      </c>
      <c r="D19" s="833" t="s">
        <v>1571</v>
      </c>
      <c r="E19" s="833" t="s">
        <v>59</v>
      </c>
      <c r="F19" s="308">
        <v>1.762</v>
      </c>
      <c r="G19" s="57" t="s">
        <v>27</v>
      </c>
      <c r="H19" s="57">
        <v>20</v>
      </c>
      <c r="I19" s="41" t="s">
        <v>28</v>
      </c>
      <c r="J19" s="57">
        <f>VLOOKUP(I19,References!$B$7:$F$252,5,FALSE)</f>
        <v>60</v>
      </c>
      <c r="K19" s="308" t="s">
        <v>60</v>
      </c>
      <c r="L19" s="57" t="s">
        <v>27</v>
      </c>
      <c r="M19" s="41" t="s">
        <v>55</v>
      </c>
      <c r="N19" s="54">
        <f>VLOOKUP(M19,References!$B$7:$F$252,5,FALSE)</f>
        <v>150</v>
      </c>
      <c r="O19" s="57">
        <v>157</v>
      </c>
      <c r="P19" s="57" t="s">
        <v>27</v>
      </c>
      <c r="Q19" s="41" t="s">
        <v>28</v>
      </c>
      <c r="R19" s="121">
        <f>VLOOKUP(Q19,References!$B$7:$F$252,5,FALSE)</f>
        <v>60</v>
      </c>
      <c r="S19" s="3"/>
      <c r="T19" s="14"/>
    </row>
    <row r="20" spans="1:26" x14ac:dyDescent="0.2">
      <c r="A20" s="838"/>
      <c r="B20" s="832"/>
      <c r="C20" s="832"/>
      <c r="D20" s="832"/>
      <c r="E20" s="832"/>
      <c r="F20" s="307">
        <v>1.7889999999999999</v>
      </c>
      <c r="G20" s="58" t="s">
        <v>33</v>
      </c>
      <c r="H20" s="58">
        <v>20</v>
      </c>
      <c r="I20" s="30" t="s">
        <v>45</v>
      </c>
      <c r="J20" s="58">
        <f>VLOOKUP(I20,References!$B$7:$F$252,5,FALSE)</f>
        <v>10</v>
      </c>
      <c r="K20" s="456" t="s">
        <v>61</v>
      </c>
      <c r="L20" s="58" t="s">
        <v>27</v>
      </c>
      <c r="M20" s="30" t="s">
        <v>47</v>
      </c>
      <c r="N20" s="55">
        <f>VLOOKUP(M20,References!$B$7:$F$252,5,FALSE)</f>
        <v>3</v>
      </c>
      <c r="O20" s="58">
        <v>136</v>
      </c>
      <c r="P20" s="58" t="s">
        <v>27</v>
      </c>
      <c r="Q20" s="30" t="s">
        <v>62</v>
      </c>
      <c r="R20" s="100">
        <f>VLOOKUP(Q20,References!$B$7:$F$305,5,FALSE)</f>
        <v>112</v>
      </c>
      <c r="S20" s="3"/>
      <c r="T20" s="14"/>
    </row>
    <row r="21" spans="1:26" x14ac:dyDescent="0.2">
      <c r="A21" s="838"/>
      <c r="B21" s="832"/>
      <c r="C21" s="832"/>
      <c r="D21" s="832"/>
      <c r="E21" s="832"/>
      <c r="F21" s="307">
        <v>1.762</v>
      </c>
      <c r="G21" s="58" t="s">
        <v>27</v>
      </c>
      <c r="H21" s="58" t="s">
        <v>33</v>
      </c>
      <c r="I21" s="30" t="s">
        <v>47</v>
      </c>
      <c r="J21" s="58">
        <f>VLOOKUP(I21,References!$B$7:$F$252,5,FALSE)</f>
        <v>3</v>
      </c>
      <c r="K21" s="456" t="s">
        <v>63</v>
      </c>
      <c r="L21" s="58" t="s">
        <v>27</v>
      </c>
      <c r="M21" s="30" t="s">
        <v>31</v>
      </c>
      <c r="N21" s="55">
        <f>VLOOKUP(M21,References!$B$7:$F$252,5,FALSE)</f>
        <v>36</v>
      </c>
      <c r="O21" s="58">
        <v>168</v>
      </c>
      <c r="P21" s="58" t="s">
        <v>33</v>
      </c>
      <c r="Q21" s="30" t="s">
        <v>45</v>
      </c>
      <c r="R21" s="100">
        <f>VLOOKUP(Q21,References!$B$7:$F$305,5,FALSE)</f>
        <v>10</v>
      </c>
      <c r="S21" s="3"/>
      <c r="T21" s="14"/>
    </row>
    <row r="22" spans="1:26" x14ac:dyDescent="0.2">
      <c r="A22" s="838"/>
      <c r="B22" s="832"/>
      <c r="C22" s="832"/>
      <c r="D22" s="832"/>
      <c r="E22" s="832"/>
      <c r="F22" s="307"/>
      <c r="G22" s="58"/>
      <c r="H22" s="58"/>
      <c r="I22" s="30"/>
      <c r="J22" s="58"/>
      <c r="K22" s="307" t="s">
        <v>64</v>
      </c>
      <c r="L22" s="58" t="s">
        <v>30</v>
      </c>
      <c r="M22" s="30" t="s">
        <v>31</v>
      </c>
      <c r="N22" s="55">
        <f>VLOOKUP(M22,References!$B$7:$F$252,5,FALSE)</f>
        <v>36</v>
      </c>
      <c r="O22" s="58">
        <v>157</v>
      </c>
      <c r="P22" s="58" t="s">
        <v>27</v>
      </c>
      <c r="Q22" s="30" t="s">
        <v>47</v>
      </c>
      <c r="R22" s="100">
        <f>VLOOKUP(Q22,References!$B$7:$F$305,5,FALSE)</f>
        <v>3</v>
      </c>
      <c r="S22" s="3"/>
      <c r="T22" s="14"/>
    </row>
    <row r="23" spans="1:26" x14ac:dyDescent="0.2">
      <c r="A23" s="840"/>
      <c r="B23" s="834"/>
      <c r="C23" s="834"/>
      <c r="D23" s="834"/>
      <c r="E23" s="834"/>
      <c r="F23" s="459"/>
      <c r="G23" s="309"/>
      <c r="H23" s="309"/>
      <c r="I23" s="37"/>
      <c r="J23" s="59"/>
      <c r="K23" s="267"/>
      <c r="L23" s="59"/>
      <c r="M23" s="37"/>
      <c r="N23" s="56"/>
      <c r="O23" s="59" t="s">
        <v>65</v>
      </c>
      <c r="P23" s="59" t="s">
        <v>30</v>
      </c>
      <c r="Q23" s="37" t="s">
        <v>31</v>
      </c>
      <c r="R23" s="122">
        <f>VLOOKUP(Q23,References!$B$7:$F$305,5,FALSE)</f>
        <v>36</v>
      </c>
      <c r="S23" s="3"/>
      <c r="T23" s="14"/>
    </row>
    <row r="24" spans="1:26" ht="15" customHeight="1" x14ac:dyDescent="0.2">
      <c r="A24" s="839" t="s">
        <v>66</v>
      </c>
      <c r="B24" s="833" t="s">
        <v>67</v>
      </c>
      <c r="C24" s="833">
        <v>364.1</v>
      </c>
      <c r="D24" s="833" t="s">
        <v>1572</v>
      </c>
      <c r="E24" s="833" t="s">
        <v>68</v>
      </c>
      <c r="F24" s="308">
        <v>1.792</v>
      </c>
      <c r="G24" s="57" t="s">
        <v>27</v>
      </c>
      <c r="H24" s="57">
        <v>20</v>
      </c>
      <c r="I24" s="41" t="s">
        <v>28</v>
      </c>
      <c r="J24" s="57">
        <f>VLOOKUP(I24,References!$B$7:$F$252,5,FALSE)</f>
        <v>60</v>
      </c>
      <c r="K24" s="307" t="s">
        <v>69</v>
      </c>
      <c r="L24" s="58" t="s">
        <v>27</v>
      </c>
      <c r="M24" s="30" t="s">
        <v>70</v>
      </c>
      <c r="N24" s="55">
        <f>VLOOKUP(M24,References!$B$7:$F$252,5,FALSE)</f>
        <v>65</v>
      </c>
      <c r="O24" s="58">
        <v>175</v>
      </c>
      <c r="P24" s="58" t="s">
        <v>27</v>
      </c>
      <c r="Q24" s="30" t="s">
        <v>28</v>
      </c>
      <c r="R24" s="100">
        <f>VLOOKUP(Q24,References!$B$7:$F$252,5,FALSE)</f>
        <v>60</v>
      </c>
      <c r="S24" s="3"/>
      <c r="T24" s="14"/>
    </row>
    <row r="25" spans="1:26" ht="15" customHeight="1" x14ac:dyDescent="0.2">
      <c r="A25" s="838"/>
      <c r="B25" s="832"/>
      <c r="C25" s="832"/>
      <c r="D25" s="832"/>
      <c r="E25" s="832"/>
      <c r="F25" s="307" t="s">
        <v>71</v>
      </c>
      <c r="G25" s="58" t="s">
        <v>30</v>
      </c>
      <c r="H25" s="58" t="s">
        <v>33</v>
      </c>
      <c r="I25" s="30" t="s">
        <v>31</v>
      </c>
      <c r="J25" s="58">
        <f>VLOOKUP(I25,References!$B$7:$F$252,5,FALSE)</f>
        <v>36</v>
      </c>
      <c r="K25" s="458" t="s">
        <v>72</v>
      </c>
      <c r="L25" s="220" t="s">
        <v>27</v>
      </c>
      <c r="M25" s="30" t="s">
        <v>55</v>
      </c>
      <c r="N25" s="55">
        <f>VLOOKUP(M25,References!$B$7:$F$252,5,FALSE)</f>
        <v>150</v>
      </c>
      <c r="O25" s="58">
        <v>175</v>
      </c>
      <c r="P25" s="58" t="s">
        <v>27</v>
      </c>
      <c r="Q25" s="30" t="s">
        <v>47</v>
      </c>
      <c r="R25" s="100">
        <f>VLOOKUP(Q25,References!$B$7:$F$252,5,FALSE)</f>
        <v>3</v>
      </c>
      <c r="S25" s="3"/>
      <c r="T25" s="14"/>
    </row>
    <row r="26" spans="1:26" x14ac:dyDescent="0.2">
      <c r="A26" s="838"/>
      <c r="B26" s="832"/>
      <c r="C26" s="832"/>
      <c r="D26" s="832"/>
      <c r="E26" s="832"/>
      <c r="F26" s="307">
        <v>1.792</v>
      </c>
      <c r="G26" s="58" t="s">
        <v>27</v>
      </c>
      <c r="H26" s="58" t="s">
        <v>33</v>
      </c>
      <c r="I26" s="30" t="s">
        <v>47</v>
      </c>
      <c r="J26" s="58">
        <f>VLOOKUP(I26,References!$B$7:$F$252,5,FALSE)</f>
        <v>3</v>
      </c>
      <c r="K26" s="307" t="s">
        <v>73</v>
      </c>
      <c r="L26" s="58" t="s">
        <v>33</v>
      </c>
      <c r="M26" s="30" t="s">
        <v>45</v>
      </c>
      <c r="N26" s="55">
        <f>VLOOKUP(M26,References!$B$7:$F$252,5,FALSE)</f>
        <v>10</v>
      </c>
      <c r="O26" s="58" t="s">
        <v>74</v>
      </c>
      <c r="P26" s="58" t="s">
        <v>30</v>
      </c>
      <c r="Q26" s="30" t="s">
        <v>31</v>
      </c>
      <c r="R26" s="100">
        <f>VLOOKUP(Q26,References!$B$7:$F$252,5,FALSE)</f>
        <v>36</v>
      </c>
      <c r="S26" s="3"/>
      <c r="T26" s="14"/>
    </row>
    <row r="27" spans="1:26" x14ac:dyDescent="0.2">
      <c r="A27" s="838"/>
      <c r="B27" s="832"/>
      <c r="C27" s="832"/>
      <c r="D27" s="832"/>
      <c r="E27" s="832"/>
      <c r="F27" s="307"/>
      <c r="G27" s="58"/>
      <c r="H27" s="58"/>
      <c r="I27" s="30"/>
      <c r="J27" s="58"/>
      <c r="K27" s="307">
        <v>30</v>
      </c>
      <c r="L27" s="58" t="s">
        <v>27</v>
      </c>
      <c r="M27" s="30" t="s">
        <v>47</v>
      </c>
      <c r="N27" s="55">
        <f>VLOOKUP(M27,References!$B$7:$F$252,5,FALSE)</f>
        <v>3</v>
      </c>
      <c r="O27" s="58"/>
      <c r="P27" s="58"/>
      <c r="Q27" s="30"/>
      <c r="R27" s="100"/>
      <c r="S27" s="3"/>
      <c r="T27" s="14"/>
    </row>
    <row r="28" spans="1:26" x14ac:dyDescent="0.2">
      <c r="A28" s="838"/>
      <c r="B28" s="832"/>
      <c r="C28" s="832"/>
      <c r="D28" s="832"/>
      <c r="E28" s="832"/>
      <c r="F28" s="307"/>
      <c r="G28" s="58"/>
      <c r="H28" s="58"/>
      <c r="I28" s="30"/>
      <c r="J28" s="58"/>
      <c r="K28" s="307" t="s">
        <v>75</v>
      </c>
      <c r="L28" s="58" t="s">
        <v>27</v>
      </c>
      <c r="M28" s="30" t="s">
        <v>31</v>
      </c>
      <c r="N28" s="55">
        <f>VLOOKUP(M28,References!$B$7:$F$252,5,FALSE)</f>
        <v>36</v>
      </c>
      <c r="O28" s="58"/>
      <c r="P28" s="58"/>
      <c r="Q28" s="30"/>
      <c r="R28" s="100"/>
      <c r="S28" s="3"/>
      <c r="T28" s="14"/>
    </row>
    <row r="29" spans="1:26" x14ac:dyDescent="0.2">
      <c r="A29" s="838"/>
      <c r="B29" s="832"/>
      <c r="C29" s="832"/>
      <c r="D29" s="832"/>
      <c r="E29" s="832"/>
      <c r="F29" s="307"/>
      <c r="G29" s="58"/>
      <c r="H29" s="58"/>
      <c r="I29" s="30"/>
      <c r="J29" s="58"/>
      <c r="K29" s="457" t="s">
        <v>76</v>
      </c>
      <c r="L29" s="225" t="s">
        <v>30</v>
      </c>
      <c r="M29" s="37" t="s">
        <v>31</v>
      </c>
      <c r="N29" s="56">
        <f>VLOOKUP(M29,References!$B$7:$F$252,5,FALSE)</f>
        <v>36</v>
      </c>
      <c r="O29" s="59"/>
      <c r="P29" s="59"/>
      <c r="Q29" s="37"/>
      <c r="R29" s="122"/>
      <c r="S29" s="3"/>
      <c r="T29" s="14"/>
    </row>
    <row r="30" spans="1:26" ht="15" customHeight="1" x14ac:dyDescent="0.2">
      <c r="A30" s="849" t="s">
        <v>77</v>
      </c>
      <c r="B30" s="833" t="s">
        <v>78</v>
      </c>
      <c r="C30" s="833">
        <v>414.1</v>
      </c>
      <c r="D30" s="833" t="s">
        <v>1573</v>
      </c>
      <c r="E30" s="835" t="s">
        <v>79</v>
      </c>
      <c r="F30" s="57">
        <v>1.8</v>
      </c>
      <c r="G30" s="57" t="s">
        <v>27</v>
      </c>
      <c r="H30" s="57">
        <v>20</v>
      </c>
      <c r="I30" s="41" t="s">
        <v>45</v>
      </c>
      <c r="J30" s="54">
        <f>VLOOKUP(I30,References!$B$7:$F$252,5,FALSE)</f>
        <v>10</v>
      </c>
      <c r="K30" s="58" t="s">
        <v>80</v>
      </c>
      <c r="L30" s="58" t="s">
        <v>27</v>
      </c>
      <c r="M30" s="30" t="s">
        <v>81</v>
      </c>
      <c r="N30" s="58">
        <f>VLOOKUP(M30,References!$B$7:$F$252,5,FALSE)</f>
        <v>113</v>
      </c>
      <c r="O30" s="308">
        <v>188</v>
      </c>
      <c r="P30" s="57" t="s">
        <v>27</v>
      </c>
      <c r="Q30" s="41" t="s">
        <v>45</v>
      </c>
      <c r="R30" s="121">
        <f>VLOOKUP(Q30,References!$B$7:$F$252,5,FALSE)</f>
        <v>10</v>
      </c>
      <c r="S30" s="3"/>
      <c r="T30" s="14"/>
      <c r="U30" s="11"/>
      <c r="V30" s="11"/>
      <c r="W30" s="11"/>
      <c r="X30" s="11"/>
      <c r="Y30" s="11"/>
      <c r="Z30" s="11"/>
    </row>
    <row r="31" spans="1:26" x14ac:dyDescent="0.2">
      <c r="A31" s="830"/>
      <c r="B31" s="832"/>
      <c r="C31" s="832"/>
      <c r="D31" s="832"/>
      <c r="E31" s="836"/>
      <c r="F31" s="58">
        <v>1.792</v>
      </c>
      <c r="G31" s="58" t="s">
        <v>27</v>
      </c>
      <c r="H31" s="58" t="s">
        <v>33</v>
      </c>
      <c r="I31" s="30" t="s">
        <v>47</v>
      </c>
      <c r="J31" s="55">
        <f>VLOOKUP(I31,References!$B$7:$F$252,5,FALSE)</f>
        <v>3</v>
      </c>
      <c r="K31" s="58">
        <v>55</v>
      </c>
      <c r="L31" s="58" t="s">
        <v>27</v>
      </c>
      <c r="M31" s="30" t="s">
        <v>82</v>
      </c>
      <c r="N31" s="58">
        <f>VLOOKUP(M31,References!$B$7:$F$252,5,FALSE)</f>
        <v>2</v>
      </c>
      <c r="O31" s="307">
        <v>189</v>
      </c>
      <c r="P31" s="58" t="s">
        <v>27</v>
      </c>
      <c r="Q31" s="30" t="s">
        <v>82</v>
      </c>
      <c r="R31" s="100">
        <f>VLOOKUP(Q31,References!$B$7:$F$252,5,FALSE)</f>
        <v>2</v>
      </c>
      <c r="S31" s="3"/>
      <c r="T31" s="14"/>
      <c r="U31" s="11"/>
      <c r="V31" s="11"/>
      <c r="W31" s="11"/>
      <c r="X31" s="11"/>
      <c r="Y31" s="11"/>
      <c r="Z31" s="11"/>
    </row>
    <row r="32" spans="1:26" x14ac:dyDescent="0.2">
      <c r="A32" s="830"/>
      <c r="B32" s="832"/>
      <c r="C32" s="832"/>
      <c r="D32" s="832"/>
      <c r="E32" s="836"/>
      <c r="F32" s="493"/>
      <c r="G32" s="493"/>
      <c r="H32" s="493"/>
      <c r="I32" s="30"/>
      <c r="J32" s="55"/>
      <c r="K32" s="58" t="s">
        <v>83</v>
      </c>
      <c r="L32" s="58" t="s">
        <v>27</v>
      </c>
      <c r="M32" s="30" t="s">
        <v>55</v>
      </c>
      <c r="N32" s="58">
        <f>VLOOKUP(M32,References!$B$7:$F$252,5,FALSE)</f>
        <v>150</v>
      </c>
      <c r="O32" s="307">
        <v>189</v>
      </c>
      <c r="P32" s="58" t="s">
        <v>27</v>
      </c>
      <c r="Q32" s="30" t="s">
        <v>28</v>
      </c>
      <c r="R32" s="100">
        <f>VLOOKUP(Q32,References!$B$7:$F$252,5,FALSE)</f>
        <v>60</v>
      </c>
      <c r="S32" s="3"/>
      <c r="T32" s="14"/>
      <c r="U32" s="11"/>
      <c r="V32" s="11"/>
      <c r="W32" s="11"/>
      <c r="X32" s="11"/>
      <c r="Y32" s="11"/>
      <c r="Z32" s="11"/>
    </row>
    <row r="33" spans="1:26" x14ac:dyDescent="0.2">
      <c r="A33" s="830"/>
      <c r="B33" s="832"/>
      <c r="C33" s="832"/>
      <c r="D33" s="832"/>
      <c r="E33" s="836"/>
      <c r="F33" s="493"/>
      <c r="G33" s="493"/>
      <c r="H33" s="493"/>
      <c r="I33" s="30"/>
      <c r="J33" s="55"/>
      <c r="K33" s="58">
        <v>54.3</v>
      </c>
      <c r="L33" s="58" t="s">
        <v>27</v>
      </c>
      <c r="M33" s="30" t="s">
        <v>45</v>
      </c>
      <c r="N33" s="58">
        <f>VLOOKUP(M33,References!$B$7:$F$252,5,FALSE)</f>
        <v>10</v>
      </c>
      <c r="O33" s="307">
        <v>189</v>
      </c>
      <c r="P33" s="58" t="s">
        <v>27</v>
      </c>
      <c r="Q33" s="30" t="s">
        <v>47</v>
      </c>
      <c r="R33" s="100">
        <f>VLOOKUP(Q33,References!$B$7:$F$252,5,FALSE)</f>
        <v>3</v>
      </c>
      <c r="S33" s="3"/>
      <c r="T33" s="14"/>
      <c r="U33" s="11"/>
      <c r="V33" s="11"/>
      <c r="W33" s="11"/>
      <c r="X33" s="11"/>
      <c r="Y33" s="11"/>
      <c r="Z33" s="11"/>
    </row>
    <row r="34" spans="1:26" x14ac:dyDescent="0.2">
      <c r="A34" s="830"/>
      <c r="B34" s="832"/>
      <c r="C34" s="832"/>
      <c r="D34" s="832"/>
      <c r="E34" s="836"/>
      <c r="F34" s="493"/>
      <c r="G34" s="493"/>
      <c r="H34" s="493"/>
      <c r="I34" s="30"/>
      <c r="J34" s="55"/>
      <c r="K34" s="58">
        <v>53</v>
      </c>
      <c r="L34" s="58" t="s">
        <v>27</v>
      </c>
      <c r="M34" s="30" t="s">
        <v>47</v>
      </c>
      <c r="N34" s="58">
        <f>VLOOKUP(M34,References!$B$7:$F$252,5,FALSE)</f>
        <v>3</v>
      </c>
      <c r="O34" s="307" t="s">
        <v>84</v>
      </c>
      <c r="P34" s="58" t="s">
        <v>30</v>
      </c>
      <c r="Q34" s="30" t="s">
        <v>31</v>
      </c>
      <c r="R34" s="100">
        <f>VLOOKUP(Q34,References!$B$7:$F$252,5,FALSE)</f>
        <v>36</v>
      </c>
      <c r="S34" s="3"/>
      <c r="T34" s="14"/>
      <c r="U34" s="11"/>
      <c r="V34" s="11"/>
      <c r="W34" s="11"/>
      <c r="X34" s="11"/>
      <c r="Y34" s="11"/>
      <c r="Z34" s="11"/>
    </row>
    <row r="35" spans="1:26" x14ac:dyDescent="0.2">
      <c r="A35" s="847"/>
      <c r="B35" s="834"/>
      <c r="C35" s="834"/>
      <c r="D35" s="834"/>
      <c r="E35" s="837"/>
      <c r="F35" s="58"/>
      <c r="G35" s="58"/>
      <c r="H35" s="58"/>
      <c r="I35" s="30"/>
      <c r="J35" s="55"/>
      <c r="K35" s="220" t="s">
        <v>85</v>
      </c>
      <c r="L35" s="220" t="s">
        <v>30</v>
      </c>
      <c r="M35" s="30" t="s">
        <v>31</v>
      </c>
      <c r="N35" s="58">
        <f>VLOOKUP(M35,References!$B$7:$F$252,5,FALSE)</f>
        <v>36</v>
      </c>
      <c r="O35" s="307"/>
      <c r="P35" s="58"/>
      <c r="Q35" s="30"/>
      <c r="R35" s="100"/>
      <c r="S35" s="3"/>
      <c r="T35" s="14"/>
      <c r="U35" s="11"/>
      <c r="V35" s="11"/>
      <c r="W35" s="11"/>
      <c r="X35" s="11"/>
      <c r="Y35" s="11"/>
      <c r="Z35" s="11"/>
    </row>
    <row r="36" spans="1:26" ht="15" customHeight="1" x14ac:dyDescent="0.2">
      <c r="A36" s="838" t="s">
        <v>86</v>
      </c>
      <c r="B36" s="832" t="s">
        <v>87</v>
      </c>
      <c r="C36" s="832">
        <v>464.1</v>
      </c>
      <c r="D36" s="832" t="s">
        <v>1574</v>
      </c>
      <c r="E36" s="832" t="s">
        <v>88</v>
      </c>
      <c r="F36" s="308">
        <v>1.8</v>
      </c>
      <c r="G36" s="57" t="s">
        <v>27</v>
      </c>
      <c r="H36" s="57" t="s">
        <v>33</v>
      </c>
      <c r="I36" s="41" t="s">
        <v>47</v>
      </c>
      <c r="J36" s="54">
        <f>VLOOKUP(I36,References!$B$7:$F$252,5,FALSE)</f>
        <v>3</v>
      </c>
      <c r="K36" s="57" t="s">
        <v>89</v>
      </c>
      <c r="L36" s="57" t="s">
        <v>27</v>
      </c>
      <c r="M36" s="41" t="s">
        <v>55</v>
      </c>
      <c r="N36" s="57">
        <f>VLOOKUP(M36,References!$B$7:$F$252,5,FALSE)</f>
        <v>150</v>
      </c>
      <c r="O36" s="308">
        <v>218</v>
      </c>
      <c r="P36" s="57" t="s">
        <v>27</v>
      </c>
      <c r="Q36" s="41" t="s">
        <v>47</v>
      </c>
      <c r="R36" s="121">
        <f>VLOOKUP(Q36,References!$B$7:$F$252,5,FALSE)</f>
        <v>3</v>
      </c>
      <c r="S36" s="3"/>
      <c r="T36" s="14"/>
      <c r="U36" s="11"/>
      <c r="V36" s="11"/>
      <c r="W36" s="11"/>
      <c r="X36" s="11"/>
      <c r="Y36" s="11"/>
      <c r="Z36" s="11"/>
    </row>
    <row r="37" spans="1:26" ht="15" customHeight="1" x14ac:dyDescent="0.2">
      <c r="A37" s="838"/>
      <c r="B37" s="832"/>
      <c r="C37" s="832"/>
      <c r="D37" s="832"/>
      <c r="E37" s="832"/>
      <c r="F37" s="307" t="s">
        <v>90</v>
      </c>
      <c r="G37" s="58" t="s">
        <v>30</v>
      </c>
      <c r="H37" s="58" t="s">
        <v>33</v>
      </c>
      <c r="I37" s="30" t="s">
        <v>31</v>
      </c>
      <c r="J37" s="55">
        <f>VLOOKUP(I37,References!$B$7:$F$252,5,FALSE)</f>
        <v>36</v>
      </c>
      <c r="K37" s="58">
        <v>68</v>
      </c>
      <c r="L37" s="58" t="s">
        <v>27</v>
      </c>
      <c r="M37" s="30" t="s">
        <v>47</v>
      </c>
      <c r="N37" s="58">
        <f>VLOOKUP(M37,References!$B$7:$F$252,5,FALSE)</f>
        <v>3</v>
      </c>
      <c r="O37" s="307" t="s">
        <v>91</v>
      </c>
      <c r="P37" s="58" t="s">
        <v>27</v>
      </c>
      <c r="Q37" s="30" t="s">
        <v>31</v>
      </c>
      <c r="R37" s="100">
        <f>VLOOKUP(Q37,References!$B$7:$F$252,5,FALSE)</f>
        <v>36</v>
      </c>
      <c r="S37" s="3"/>
      <c r="T37" s="14"/>
      <c r="U37" s="11"/>
      <c r="V37" s="11"/>
      <c r="W37" s="11"/>
      <c r="X37" s="11"/>
      <c r="Y37" s="11"/>
      <c r="Z37" s="11"/>
    </row>
    <row r="38" spans="1:26" x14ac:dyDescent="0.2">
      <c r="A38" s="838"/>
      <c r="B38" s="832"/>
      <c r="C38" s="832"/>
      <c r="D38" s="832"/>
      <c r="E38" s="832"/>
      <c r="F38" s="307"/>
      <c r="G38" s="58"/>
      <c r="H38" s="58"/>
      <c r="I38" s="30"/>
      <c r="J38" s="55"/>
      <c r="K38" s="58" t="s">
        <v>92</v>
      </c>
      <c r="L38" s="58" t="s">
        <v>27</v>
      </c>
      <c r="M38" s="30" t="s">
        <v>31</v>
      </c>
      <c r="N38" s="58">
        <f>VLOOKUP(M38,References!$B$7:$F$252,5,FALSE)</f>
        <v>36</v>
      </c>
      <c r="O38" s="307" t="s">
        <v>93</v>
      </c>
      <c r="P38" s="58" t="s">
        <v>30</v>
      </c>
      <c r="Q38" s="30" t="s">
        <v>31</v>
      </c>
      <c r="R38" s="100">
        <f>VLOOKUP(Q38,References!$B$7:$F$252,5,FALSE)</f>
        <v>36</v>
      </c>
      <c r="S38" s="3"/>
      <c r="T38" s="14"/>
      <c r="U38" s="11"/>
      <c r="V38" s="11"/>
      <c r="W38" s="11"/>
      <c r="X38" s="11"/>
      <c r="Y38" s="11"/>
      <c r="Z38" s="11"/>
    </row>
    <row r="39" spans="1:26" x14ac:dyDescent="0.2">
      <c r="A39" s="840"/>
      <c r="B39" s="834"/>
      <c r="C39" s="834"/>
      <c r="D39" s="834"/>
      <c r="E39" s="834"/>
      <c r="F39" s="267"/>
      <c r="G39" s="59"/>
      <c r="H39" s="59"/>
      <c r="I39" s="40"/>
      <c r="J39" s="56"/>
      <c r="K39" s="59" t="s">
        <v>94</v>
      </c>
      <c r="L39" s="59" t="s">
        <v>30</v>
      </c>
      <c r="M39" s="37" t="s">
        <v>31</v>
      </c>
      <c r="N39" s="59">
        <f>VLOOKUP(M39,References!$B$7:$F$252,5,FALSE)</f>
        <v>36</v>
      </c>
      <c r="O39" s="267"/>
      <c r="P39" s="59"/>
      <c r="Q39" s="37"/>
      <c r="R39" s="122"/>
      <c r="S39" s="3"/>
      <c r="T39" s="14"/>
      <c r="U39" s="11"/>
      <c r="V39" s="11"/>
      <c r="W39" s="11"/>
      <c r="X39" s="11"/>
      <c r="Y39" s="11"/>
      <c r="Z39" s="11"/>
    </row>
    <row r="40" spans="1:26" x14ac:dyDescent="0.2">
      <c r="A40" s="839" t="s">
        <v>95</v>
      </c>
      <c r="B40" s="833" t="s">
        <v>96</v>
      </c>
      <c r="C40" s="833">
        <v>514.1</v>
      </c>
      <c r="D40" s="833" t="s">
        <v>1575</v>
      </c>
      <c r="E40" s="833" t="s">
        <v>97</v>
      </c>
      <c r="F40" s="307" t="s">
        <v>98</v>
      </c>
      <c r="G40" s="58" t="s">
        <v>30</v>
      </c>
      <c r="H40" s="58" t="s">
        <v>33</v>
      </c>
      <c r="I40" s="30" t="s">
        <v>31</v>
      </c>
      <c r="J40" s="55">
        <f>VLOOKUP(I40,References!$B$7:$F$252,5,FALSE)</f>
        <v>36</v>
      </c>
      <c r="K40" s="58" t="s">
        <v>99</v>
      </c>
      <c r="L40" s="58" t="s">
        <v>27</v>
      </c>
      <c r="M40" s="30" t="s">
        <v>55</v>
      </c>
      <c r="N40" s="58">
        <f>VLOOKUP(M40,References!$B$7:$F$252,5,FALSE)</f>
        <v>150</v>
      </c>
      <c r="O40" s="307">
        <v>218</v>
      </c>
      <c r="P40" s="58" t="s">
        <v>27</v>
      </c>
      <c r="Q40" s="30" t="s">
        <v>28</v>
      </c>
      <c r="R40" s="100">
        <f>VLOOKUP(Q40,References!$B$7:$F$252,5,FALSE)</f>
        <v>60</v>
      </c>
      <c r="S40" s="3"/>
      <c r="T40" s="14"/>
      <c r="U40" s="11"/>
      <c r="V40" s="11"/>
      <c r="W40" s="11"/>
      <c r="X40" s="11"/>
      <c r="Y40" s="11"/>
      <c r="Z40" s="11"/>
    </row>
    <row r="41" spans="1:26" x14ac:dyDescent="0.2">
      <c r="A41" s="838"/>
      <c r="B41" s="832"/>
      <c r="C41" s="832"/>
      <c r="D41" s="832"/>
      <c r="E41" s="832"/>
      <c r="F41" s="307">
        <v>1.7070000000000001</v>
      </c>
      <c r="G41" s="58" t="s">
        <v>27</v>
      </c>
      <c r="H41" s="58" t="s">
        <v>33</v>
      </c>
      <c r="I41" s="30" t="s">
        <v>47</v>
      </c>
      <c r="J41" s="55">
        <f>VLOOKUP(I41,References!$B$7:$F$252,5,FALSE)</f>
        <v>3</v>
      </c>
      <c r="K41" s="58" t="s">
        <v>100</v>
      </c>
      <c r="L41" s="58" t="s">
        <v>27</v>
      </c>
      <c r="M41" s="30" t="s">
        <v>47</v>
      </c>
      <c r="N41" s="58">
        <f>VLOOKUP(M41,References!$B$7:$F$252,5,FALSE)</f>
        <v>3</v>
      </c>
      <c r="O41" s="307">
        <v>219</v>
      </c>
      <c r="P41" s="58" t="s">
        <v>27</v>
      </c>
      <c r="Q41" s="30" t="s">
        <v>45</v>
      </c>
      <c r="R41" s="100">
        <f>VLOOKUP(Q41,References!$B$7:$F$252,5,FALSE)</f>
        <v>10</v>
      </c>
      <c r="S41" s="3"/>
      <c r="T41" s="14"/>
      <c r="U41" s="11"/>
      <c r="V41" s="11"/>
      <c r="W41" s="11"/>
      <c r="X41" s="11"/>
      <c r="Y41" s="11"/>
      <c r="Z41" s="11"/>
    </row>
    <row r="42" spans="1:26" x14ac:dyDescent="0.2">
      <c r="A42" s="838"/>
      <c r="B42" s="832"/>
      <c r="C42" s="832"/>
      <c r="D42" s="832"/>
      <c r="E42" s="832"/>
      <c r="F42" s="509"/>
      <c r="G42" s="493"/>
      <c r="H42" s="493"/>
      <c r="I42" s="30"/>
      <c r="J42" s="55"/>
      <c r="K42" s="58" t="s">
        <v>102</v>
      </c>
      <c r="L42" s="58" t="s">
        <v>27</v>
      </c>
      <c r="M42" s="30" t="s">
        <v>31</v>
      </c>
      <c r="N42" s="58">
        <f>VLOOKUP(M42,References!$B$7:$F$252,5,FALSE)</f>
        <v>36</v>
      </c>
      <c r="O42" s="307">
        <v>218</v>
      </c>
      <c r="P42" s="58" t="s">
        <v>27</v>
      </c>
      <c r="Q42" s="30" t="s">
        <v>47</v>
      </c>
      <c r="R42" s="100">
        <f>VLOOKUP(Q42,References!$B$7:$F$252,5,FALSE)</f>
        <v>3</v>
      </c>
      <c r="S42" s="3"/>
      <c r="T42" s="14"/>
      <c r="U42" s="11"/>
      <c r="V42" s="11"/>
      <c r="W42" s="11"/>
      <c r="X42" s="11"/>
      <c r="Y42" s="11"/>
      <c r="Z42" s="11"/>
    </row>
    <row r="43" spans="1:26" x14ac:dyDescent="0.2">
      <c r="A43" s="838"/>
      <c r="B43" s="832"/>
      <c r="C43" s="832"/>
      <c r="D43" s="832"/>
      <c r="E43" s="832"/>
      <c r="F43" s="509"/>
      <c r="G43" s="493"/>
      <c r="H43" s="493"/>
      <c r="I43" s="30"/>
      <c r="J43" s="55"/>
      <c r="K43" s="58" t="s">
        <v>103</v>
      </c>
      <c r="L43" s="58" t="s">
        <v>30</v>
      </c>
      <c r="M43" s="30" t="s">
        <v>31</v>
      </c>
      <c r="N43" s="58">
        <f>VLOOKUP(M43,References!$B$7:$F$252,5,FALSE)</f>
        <v>36</v>
      </c>
      <c r="O43" s="307" t="s">
        <v>104</v>
      </c>
      <c r="P43" s="58" t="s">
        <v>27</v>
      </c>
      <c r="Q43" s="30" t="s">
        <v>31</v>
      </c>
      <c r="R43" s="100">
        <f>VLOOKUP(Q43,References!$B$7:$F$252,5,FALSE)</f>
        <v>36</v>
      </c>
      <c r="S43" s="3"/>
      <c r="T43" s="14"/>
      <c r="U43" s="11"/>
      <c r="V43" s="11"/>
      <c r="W43" s="11"/>
      <c r="X43" s="11"/>
      <c r="Y43" s="11"/>
      <c r="Z43" s="11"/>
    </row>
    <row r="44" spans="1:26" x14ac:dyDescent="0.2">
      <c r="A44" s="840"/>
      <c r="B44" s="834"/>
      <c r="C44" s="834"/>
      <c r="D44" s="834"/>
      <c r="E44" s="834"/>
      <c r="F44" s="267"/>
      <c r="G44" s="59"/>
      <c r="H44" s="59"/>
      <c r="I44" s="37"/>
      <c r="J44" s="56"/>
      <c r="K44" s="58"/>
      <c r="L44" s="58"/>
      <c r="M44" s="30"/>
      <c r="N44" s="58"/>
      <c r="O44" s="267" t="s">
        <v>105</v>
      </c>
      <c r="P44" s="59" t="s">
        <v>30</v>
      </c>
      <c r="Q44" s="37" t="s">
        <v>31</v>
      </c>
      <c r="R44" s="122">
        <f>VLOOKUP(Q44,References!$B$7:$F$252,5,FALSE)</f>
        <v>36</v>
      </c>
      <c r="S44" s="3"/>
      <c r="T44" s="14"/>
      <c r="U44" s="11"/>
      <c r="V44" s="11"/>
      <c r="W44" s="11"/>
      <c r="X44" s="11"/>
      <c r="Y44" s="11"/>
      <c r="Z44" s="11"/>
    </row>
    <row r="45" spans="1:26" ht="15" customHeight="1" x14ac:dyDescent="0.2">
      <c r="A45" s="839" t="s">
        <v>106</v>
      </c>
      <c r="B45" s="833" t="s">
        <v>107</v>
      </c>
      <c r="C45" s="833">
        <v>564.1</v>
      </c>
      <c r="D45" s="833" t="s">
        <v>1576</v>
      </c>
      <c r="E45" s="835" t="s">
        <v>108</v>
      </c>
      <c r="F45" s="308" t="s">
        <v>109</v>
      </c>
      <c r="G45" s="57" t="s">
        <v>30</v>
      </c>
      <c r="H45" s="57" t="s">
        <v>33</v>
      </c>
      <c r="I45" s="41" t="s">
        <v>31</v>
      </c>
      <c r="J45" s="57">
        <f>VLOOKUP(I45,References!$B$7:$F$252,5,FALSE)</f>
        <v>36</v>
      </c>
      <c r="K45" s="308" t="s">
        <v>110</v>
      </c>
      <c r="L45" s="57" t="s">
        <v>27</v>
      </c>
      <c r="M45" s="41" t="s">
        <v>70</v>
      </c>
      <c r="N45" s="54">
        <f>VLOOKUP(M45,References!$B$7:$F$252,5,FALSE)</f>
        <v>65</v>
      </c>
      <c r="O45" s="57">
        <v>160</v>
      </c>
      <c r="P45" s="57" t="s">
        <v>27</v>
      </c>
      <c r="Q45" s="41" t="s">
        <v>111</v>
      </c>
      <c r="R45" s="121">
        <f>VLOOKUP(Q45,References!$B$7:$F$252,5,FALSE)</f>
        <v>115</v>
      </c>
      <c r="S45" s="3"/>
      <c r="T45" s="14"/>
      <c r="U45" s="11"/>
      <c r="V45" s="11"/>
      <c r="W45" s="11"/>
      <c r="X45" s="11"/>
      <c r="Y45" s="11"/>
      <c r="Z45" s="11"/>
    </row>
    <row r="46" spans="1:26" x14ac:dyDescent="0.2">
      <c r="A46" s="838"/>
      <c r="B46" s="832"/>
      <c r="C46" s="832"/>
      <c r="D46" s="832"/>
      <c r="E46" s="836"/>
      <c r="F46" s="307"/>
      <c r="G46" s="58"/>
      <c r="H46" s="58"/>
      <c r="I46" s="39"/>
      <c r="J46" s="58"/>
      <c r="K46" s="458" t="s">
        <v>112</v>
      </c>
      <c r="L46" s="58" t="s">
        <v>27</v>
      </c>
      <c r="M46" s="30" t="s">
        <v>55</v>
      </c>
      <c r="N46" s="55">
        <f>VLOOKUP(M46,References!$B$7:$F$252,5,FALSE)</f>
        <v>150</v>
      </c>
      <c r="O46" s="58">
        <v>238.4</v>
      </c>
      <c r="P46" s="58" t="s">
        <v>27</v>
      </c>
      <c r="Q46" s="30" t="s">
        <v>47</v>
      </c>
      <c r="R46" s="100">
        <f>VLOOKUP(Q46,References!$B$7:$F$252,5,FALSE)</f>
        <v>3</v>
      </c>
      <c r="S46" s="3"/>
      <c r="T46" s="14"/>
      <c r="U46" s="11"/>
      <c r="V46" s="11"/>
      <c r="W46" s="11"/>
      <c r="X46" s="11"/>
      <c r="Y46" s="11"/>
      <c r="Z46" s="11"/>
    </row>
    <row r="47" spans="1:26" x14ac:dyDescent="0.2">
      <c r="A47" s="838"/>
      <c r="B47" s="832"/>
      <c r="C47" s="832"/>
      <c r="D47" s="832"/>
      <c r="E47" s="836"/>
      <c r="F47" s="307"/>
      <c r="G47" s="58"/>
      <c r="H47" s="58"/>
      <c r="I47" s="39"/>
      <c r="J47" s="58"/>
      <c r="K47" s="458" t="s">
        <v>113</v>
      </c>
      <c r="L47" s="58" t="s">
        <v>27</v>
      </c>
      <c r="M47" s="30" t="s">
        <v>47</v>
      </c>
      <c r="N47" s="55">
        <f>VLOOKUP(M47,References!$B$7:$F$252,5,FALSE)</f>
        <v>3</v>
      </c>
      <c r="O47" s="58" t="s">
        <v>114</v>
      </c>
      <c r="P47" s="58" t="s">
        <v>30</v>
      </c>
      <c r="Q47" s="30" t="s">
        <v>31</v>
      </c>
      <c r="R47" s="100">
        <f>VLOOKUP(Q47,References!$B$7:$F$252,5,FALSE)</f>
        <v>36</v>
      </c>
      <c r="S47" s="3"/>
      <c r="T47" s="14"/>
      <c r="U47" s="11"/>
      <c r="V47" s="11"/>
      <c r="W47" s="11"/>
      <c r="X47" s="11"/>
      <c r="Y47" s="11"/>
      <c r="Z47" s="11"/>
    </row>
    <row r="48" spans="1:26" x14ac:dyDescent="0.2">
      <c r="A48" s="838"/>
      <c r="B48" s="832"/>
      <c r="C48" s="832"/>
      <c r="D48" s="832"/>
      <c r="E48" s="836"/>
      <c r="F48" s="307"/>
      <c r="G48" s="58"/>
      <c r="H48" s="58"/>
      <c r="I48" s="39"/>
      <c r="J48" s="58"/>
      <c r="K48" s="458" t="s">
        <v>115</v>
      </c>
      <c r="L48" s="220" t="s">
        <v>30</v>
      </c>
      <c r="M48" s="30" t="s">
        <v>31</v>
      </c>
      <c r="N48" s="55">
        <f>VLOOKUP(M48,References!$B$7:$F$252,5,FALSE)</f>
        <v>36</v>
      </c>
      <c r="O48" s="58">
        <v>238</v>
      </c>
      <c r="P48" s="58" t="s">
        <v>27</v>
      </c>
      <c r="Q48" s="30" t="s">
        <v>31</v>
      </c>
      <c r="R48" s="100">
        <f>VLOOKUP(Q48,References!$B$7:$F$252,5,FALSE)</f>
        <v>36</v>
      </c>
      <c r="S48" s="3"/>
      <c r="T48" s="14"/>
      <c r="U48" s="11"/>
      <c r="V48" s="11"/>
      <c r="W48" s="11"/>
      <c r="X48" s="11"/>
      <c r="Y48" s="11"/>
      <c r="Z48" s="11"/>
    </row>
    <row r="49" spans="1:26" x14ac:dyDescent="0.2">
      <c r="A49" s="840"/>
      <c r="B49" s="834"/>
      <c r="C49" s="834"/>
      <c r="D49" s="834"/>
      <c r="E49" s="837"/>
      <c r="F49" s="267"/>
      <c r="G49" s="59"/>
      <c r="H49" s="59"/>
      <c r="I49" s="40"/>
      <c r="J49" s="59"/>
      <c r="K49" s="457" t="s">
        <v>116</v>
      </c>
      <c r="L49" s="225" t="s">
        <v>27</v>
      </c>
      <c r="M49" s="37" t="s">
        <v>31</v>
      </c>
      <c r="N49" s="56">
        <f>VLOOKUP(M49,References!$B$7:$F$252,5,FALSE)</f>
        <v>36</v>
      </c>
      <c r="O49" s="59"/>
      <c r="P49" s="59"/>
      <c r="Q49" s="37"/>
      <c r="R49" s="122"/>
      <c r="S49" s="3"/>
      <c r="T49" s="14"/>
      <c r="U49" s="11"/>
      <c r="V49" s="11"/>
      <c r="W49" s="11"/>
      <c r="X49" s="11"/>
      <c r="Y49" s="11"/>
      <c r="Z49" s="11"/>
    </row>
    <row r="50" spans="1:26" x14ac:dyDescent="0.2">
      <c r="A50" s="838" t="s">
        <v>117</v>
      </c>
      <c r="B50" s="832" t="s">
        <v>118</v>
      </c>
      <c r="C50" s="832">
        <f>C45+50</f>
        <v>614.1</v>
      </c>
      <c r="D50" s="832" t="s">
        <v>1577</v>
      </c>
      <c r="E50" s="832" t="s">
        <v>119</v>
      </c>
      <c r="F50" s="307" t="s">
        <v>120</v>
      </c>
      <c r="G50" s="58" t="s">
        <v>30</v>
      </c>
      <c r="H50" s="58" t="s">
        <v>33</v>
      </c>
      <c r="I50" s="30" t="s">
        <v>31</v>
      </c>
      <c r="J50" s="55">
        <f>VLOOKUP(I50,References!$B$7:$F$252,5,FALSE)</f>
        <v>36</v>
      </c>
      <c r="K50" s="58" t="s">
        <v>121</v>
      </c>
      <c r="L50" s="58" t="s">
        <v>27</v>
      </c>
      <c r="M50" s="30" t="s">
        <v>31</v>
      </c>
      <c r="N50" s="58">
        <f>VLOOKUP(M50,References!$B$7:$F$252,5,FALSE)</f>
        <v>36</v>
      </c>
      <c r="O50" s="307">
        <v>249</v>
      </c>
      <c r="P50" s="58" t="s">
        <v>27</v>
      </c>
      <c r="Q50" s="30" t="s">
        <v>47</v>
      </c>
      <c r="R50" s="100">
        <f>VLOOKUP(Q50,References!$B$7:$F$252,5,FALSE)</f>
        <v>3</v>
      </c>
      <c r="S50" s="3"/>
      <c r="T50" s="14"/>
      <c r="U50" s="11"/>
      <c r="V50" s="11"/>
      <c r="W50" s="11"/>
      <c r="X50" s="11"/>
      <c r="Y50" s="11"/>
      <c r="Z50" s="11"/>
    </row>
    <row r="51" spans="1:26" x14ac:dyDescent="0.2">
      <c r="A51" s="838"/>
      <c r="B51" s="832"/>
      <c r="C51" s="832"/>
      <c r="D51" s="832"/>
      <c r="E51" s="832"/>
      <c r="F51" s="307"/>
      <c r="G51" s="58"/>
      <c r="H51" s="58"/>
      <c r="I51" s="39"/>
      <c r="J51" s="55"/>
      <c r="K51" s="220" t="s">
        <v>122</v>
      </c>
      <c r="L51" s="220" t="s">
        <v>30</v>
      </c>
      <c r="M51" s="30" t="s">
        <v>31</v>
      </c>
      <c r="N51" s="58">
        <f>VLOOKUP(M51,References!$B$7:$F$252,5,FALSE)</f>
        <v>36</v>
      </c>
      <c r="O51" s="307" t="s">
        <v>123</v>
      </c>
      <c r="P51" s="58" t="s">
        <v>27</v>
      </c>
      <c r="Q51" s="30" t="s">
        <v>31</v>
      </c>
      <c r="R51" s="100">
        <f>VLOOKUP(Q51,References!$B$7:$F$252,5,FALSE)</f>
        <v>36</v>
      </c>
      <c r="S51" s="3"/>
      <c r="T51" s="14"/>
      <c r="U51" s="11"/>
      <c r="V51" s="11"/>
      <c r="W51" s="11"/>
      <c r="X51" s="11"/>
      <c r="Y51" s="11"/>
      <c r="Z51" s="11"/>
    </row>
    <row r="52" spans="1:26" x14ac:dyDescent="0.2">
      <c r="A52" s="838"/>
      <c r="B52" s="832"/>
      <c r="C52" s="832"/>
      <c r="D52" s="832"/>
      <c r="E52" s="832"/>
      <c r="F52" s="307"/>
      <c r="G52" s="58"/>
      <c r="H52" s="58"/>
      <c r="I52" s="39"/>
      <c r="J52" s="55"/>
      <c r="K52" s="220">
        <v>108</v>
      </c>
      <c r="L52" s="220" t="s">
        <v>27</v>
      </c>
      <c r="M52" s="30" t="s">
        <v>47</v>
      </c>
      <c r="N52" s="58">
        <f>VLOOKUP(M52,References!$B$7:$F$252,5,FALSE)</f>
        <v>3</v>
      </c>
      <c r="O52" s="307" t="s">
        <v>125</v>
      </c>
      <c r="P52" s="58" t="s">
        <v>30</v>
      </c>
      <c r="Q52" s="30" t="s">
        <v>31</v>
      </c>
      <c r="R52" s="100">
        <f>VLOOKUP(Q52,References!$B$7:$F$252,5,FALSE)</f>
        <v>36</v>
      </c>
      <c r="S52" s="3"/>
      <c r="T52" s="14"/>
      <c r="U52" s="11"/>
      <c r="V52" s="11"/>
      <c r="W52" s="11"/>
      <c r="X52" s="11"/>
      <c r="Y52" s="11"/>
      <c r="Z52" s="11"/>
    </row>
    <row r="53" spans="1:26" x14ac:dyDescent="0.2">
      <c r="A53" s="839" t="s">
        <v>126</v>
      </c>
      <c r="B53" s="833" t="s">
        <v>127</v>
      </c>
      <c r="C53" s="833">
        <v>664.1</v>
      </c>
      <c r="D53" s="833" t="s">
        <v>1578</v>
      </c>
      <c r="E53" s="833" t="s">
        <v>128</v>
      </c>
      <c r="F53" s="308" t="s">
        <v>129</v>
      </c>
      <c r="G53" s="57" t="s">
        <v>30</v>
      </c>
      <c r="H53" s="57" t="s">
        <v>33</v>
      </c>
      <c r="I53" s="41" t="s">
        <v>31</v>
      </c>
      <c r="J53" s="54">
        <f>VLOOKUP(I53,References!$B$7:$F$252,5,FALSE)</f>
        <v>36</v>
      </c>
      <c r="K53" s="57" t="s">
        <v>130</v>
      </c>
      <c r="L53" s="57" t="s">
        <v>27</v>
      </c>
      <c r="M53" s="41" t="s">
        <v>111</v>
      </c>
      <c r="N53" s="57">
        <f>VLOOKUP(M53,References!$B$7:$F$252,5,FALSE)</f>
        <v>115</v>
      </c>
      <c r="O53" s="308" t="s">
        <v>131</v>
      </c>
      <c r="P53" s="57" t="s">
        <v>30</v>
      </c>
      <c r="Q53" s="41" t="s">
        <v>31</v>
      </c>
      <c r="R53" s="121">
        <f>VLOOKUP(Q53,References!$B$7:$F$252,5,FALSE)</f>
        <v>36</v>
      </c>
      <c r="S53" s="3"/>
      <c r="T53" s="14"/>
      <c r="U53" s="11"/>
      <c r="V53" s="11"/>
      <c r="W53" s="11"/>
      <c r="X53" s="11"/>
      <c r="Y53" s="11"/>
      <c r="Z53" s="11"/>
    </row>
    <row r="54" spans="1:26" x14ac:dyDescent="0.2">
      <c r="A54" s="838"/>
      <c r="B54" s="832"/>
      <c r="C54" s="832"/>
      <c r="D54" s="832"/>
      <c r="E54" s="832"/>
      <c r="F54" s="307"/>
      <c r="G54" s="58"/>
      <c r="H54" s="58"/>
      <c r="I54" s="30"/>
      <c r="J54" s="55"/>
      <c r="K54" s="58" t="s">
        <v>132</v>
      </c>
      <c r="L54" s="58" t="s">
        <v>27</v>
      </c>
      <c r="M54" s="30" t="s">
        <v>47</v>
      </c>
      <c r="N54" s="58">
        <f>VLOOKUP(M54,References!$B$7:$F$252,5,FALSE)</f>
        <v>3</v>
      </c>
      <c r="O54" s="307"/>
      <c r="P54" s="58"/>
      <c r="Q54" s="30"/>
      <c r="R54" s="100"/>
      <c r="S54" s="3"/>
      <c r="T54" s="14"/>
      <c r="U54" s="11"/>
      <c r="V54" s="11"/>
      <c r="W54" s="11"/>
      <c r="X54" s="11"/>
      <c r="Y54" s="11"/>
      <c r="Z54" s="11"/>
    </row>
    <row r="55" spans="1:26" x14ac:dyDescent="0.2">
      <c r="A55" s="840"/>
      <c r="B55" s="834"/>
      <c r="C55" s="834"/>
      <c r="D55" s="834"/>
      <c r="E55" s="834"/>
      <c r="F55" s="267"/>
      <c r="G55" s="59"/>
      <c r="H55" s="59"/>
      <c r="I55" s="40"/>
      <c r="J55" s="56"/>
      <c r="K55" s="59" t="s">
        <v>133</v>
      </c>
      <c r="L55" s="59" t="s">
        <v>30</v>
      </c>
      <c r="M55" s="37" t="s">
        <v>31</v>
      </c>
      <c r="N55" s="59">
        <f>VLOOKUP(M55,References!$B$7:$F$252,5,FALSE)</f>
        <v>36</v>
      </c>
      <c r="O55" s="267"/>
      <c r="P55" s="59"/>
      <c r="Q55" s="40"/>
      <c r="R55" s="310"/>
      <c r="S55" s="3"/>
      <c r="T55" s="14"/>
      <c r="U55" s="11"/>
      <c r="V55" s="11"/>
      <c r="W55" s="11"/>
      <c r="X55" s="11"/>
      <c r="Y55" s="11"/>
      <c r="Z55" s="11"/>
    </row>
    <row r="56" spans="1:26" x14ac:dyDescent="0.2">
      <c r="A56" s="838" t="s">
        <v>134</v>
      </c>
      <c r="B56" s="832" t="s">
        <v>135</v>
      </c>
      <c r="C56" s="832">
        <v>714.1</v>
      </c>
      <c r="D56" s="832" t="s">
        <v>1579</v>
      </c>
      <c r="E56" s="832" t="s">
        <v>136</v>
      </c>
      <c r="F56" s="307" t="s">
        <v>137</v>
      </c>
      <c r="G56" s="58" t="s">
        <v>30</v>
      </c>
      <c r="H56" s="58" t="s">
        <v>33</v>
      </c>
      <c r="I56" s="30" t="s">
        <v>31</v>
      </c>
      <c r="J56" s="55">
        <f>VLOOKUP(I56,References!$B$7:$F$252,5,FALSE)</f>
        <v>36</v>
      </c>
      <c r="K56" s="58" t="s">
        <v>138</v>
      </c>
      <c r="L56" s="58" t="s">
        <v>27</v>
      </c>
      <c r="M56" s="30" t="s">
        <v>111</v>
      </c>
      <c r="N56" s="58">
        <f>VLOOKUP(M56,References!$B$7:$F$252,5,FALSE)</f>
        <v>115</v>
      </c>
      <c r="O56" s="307">
        <v>270</v>
      </c>
      <c r="P56" s="58" t="s">
        <v>27</v>
      </c>
      <c r="Q56" s="30" t="s">
        <v>28</v>
      </c>
      <c r="R56" s="100">
        <f>VLOOKUP(Q56,References!$B$7:$F$252,5,FALSE)</f>
        <v>60</v>
      </c>
      <c r="S56" s="3"/>
      <c r="T56" s="14"/>
      <c r="U56" s="11"/>
      <c r="V56" s="11"/>
      <c r="W56" s="11"/>
      <c r="X56" s="11"/>
      <c r="Y56" s="11"/>
      <c r="Z56" s="11"/>
    </row>
    <row r="57" spans="1:26" x14ac:dyDescent="0.2">
      <c r="A57" s="838"/>
      <c r="B57" s="832"/>
      <c r="C57" s="832"/>
      <c r="D57" s="832"/>
      <c r="E57" s="832"/>
      <c r="F57" s="307"/>
      <c r="G57" s="58"/>
      <c r="H57" s="58"/>
      <c r="I57" s="30"/>
      <c r="J57" s="55"/>
      <c r="K57" s="58">
        <v>130</v>
      </c>
      <c r="L57" s="58" t="s">
        <v>27</v>
      </c>
      <c r="M57" s="30" t="s">
        <v>47</v>
      </c>
      <c r="N57" s="58">
        <f>VLOOKUP(M57,References!$B$7:$F$252,5,FALSE)</f>
        <v>3</v>
      </c>
      <c r="O57" s="307" t="s">
        <v>139</v>
      </c>
      <c r="P57" s="58" t="s">
        <v>30</v>
      </c>
      <c r="Q57" s="30" t="s">
        <v>31</v>
      </c>
      <c r="R57" s="100">
        <f>VLOOKUP(Q57,References!$B$7:$F$252,5,FALSE)</f>
        <v>36</v>
      </c>
      <c r="S57" s="3"/>
      <c r="T57" s="14"/>
      <c r="U57" s="11"/>
      <c r="V57" s="11"/>
      <c r="W57" s="11"/>
      <c r="X57" s="11"/>
      <c r="Y57" s="11"/>
      <c r="Z57" s="11"/>
    </row>
    <row r="58" spans="1:26" ht="16" thickBot="1" x14ac:dyDescent="0.25">
      <c r="A58" s="852"/>
      <c r="B58" s="845"/>
      <c r="C58" s="845"/>
      <c r="D58" s="845"/>
      <c r="E58" s="845"/>
      <c r="F58" s="311"/>
      <c r="G58" s="138"/>
      <c r="H58" s="138"/>
      <c r="I58" s="215"/>
      <c r="J58" s="227"/>
      <c r="K58" s="138" t="s">
        <v>140</v>
      </c>
      <c r="L58" s="138" t="s">
        <v>30</v>
      </c>
      <c r="M58" s="210" t="s">
        <v>31</v>
      </c>
      <c r="N58" s="138">
        <f>VLOOKUP(M58,References!$B$7:$F$252,5,FALSE)</f>
        <v>36</v>
      </c>
      <c r="O58" s="311"/>
      <c r="P58" s="138"/>
      <c r="Q58" s="210"/>
      <c r="R58" s="101"/>
      <c r="S58" s="3"/>
      <c r="T58" s="14"/>
      <c r="U58" s="11"/>
      <c r="V58" s="11"/>
      <c r="W58" s="11"/>
      <c r="X58" s="11"/>
      <c r="Y58" s="11"/>
      <c r="Z58" s="11"/>
    </row>
    <row r="59" spans="1:26" ht="16" thickBot="1" x14ac:dyDescent="0.25">
      <c r="A59" s="237" t="s">
        <v>141</v>
      </c>
      <c r="B59" s="129" t="s">
        <v>142</v>
      </c>
      <c r="C59" s="82"/>
      <c r="D59" s="79"/>
      <c r="E59" s="79"/>
      <c r="F59" s="79"/>
      <c r="G59" s="79"/>
      <c r="H59" s="79"/>
      <c r="I59" s="128"/>
      <c r="J59" s="79"/>
      <c r="K59" s="79"/>
      <c r="L59" s="79"/>
      <c r="M59" s="128"/>
      <c r="N59" s="79"/>
      <c r="O59" s="79"/>
      <c r="P59" s="79"/>
      <c r="Q59" s="128"/>
      <c r="R59" s="80"/>
      <c r="S59" s="3"/>
      <c r="T59" s="14"/>
      <c r="U59" s="11"/>
      <c r="V59" s="11"/>
      <c r="W59" s="11"/>
      <c r="X59" s="11"/>
      <c r="Y59" s="11"/>
      <c r="Z59" s="11"/>
    </row>
    <row r="60" spans="1:26" ht="18" customHeight="1" x14ac:dyDescent="0.2">
      <c r="A60" s="853" t="s">
        <v>143</v>
      </c>
      <c r="B60" s="832" t="s">
        <v>144</v>
      </c>
      <c r="C60" s="832">
        <v>150.07</v>
      </c>
      <c r="D60" s="832" t="s">
        <v>1580</v>
      </c>
      <c r="E60" s="836" t="s">
        <v>145</v>
      </c>
      <c r="F60" s="458" t="s">
        <v>146</v>
      </c>
      <c r="G60" s="58" t="s">
        <v>30</v>
      </c>
      <c r="H60" s="58" t="s">
        <v>33</v>
      </c>
      <c r="I60" s="30" t="s">
        <v>31</v>
      </c>
      <c r="J60" s="58">
        <f>VLOOKUP(I60,References!$B$7:$F$252,5,FALSE)</f>
        <v>36</v>
      </c>
      <c r="K60" s="458" t="s">
        <v>147</v>
      </c>
      <c r="L60" s="58" t="s">
        <v>30</v>
      </c>
      <c r="M60" s="30" t="s">
        <v>31</v>
      </c>
      <c r="N60" s="58">
        <f>VLOOKUP(M60,References!$B$7:$F$252,5,FALSE)</f>
        <v>36</v>
      </c>
      <c r="O60" s="458" t="s">
        <v>148</v>
      </c>
      <c r="P60" s="58" t="s">
        <v>30</v>
      </c>
      <c r="Q60" s="30" t="s">
        <v>31</v>
      </c>
      <c r="R60" s="100">
        <f>VLOOKUP(Q60,References!$B$7:$F$252,5,FALSE)</f>
        <v>36</v>
      </c>
      <c r="S60" s="3"/>
      <c r="T60" s="14"/>
      <c r="U60" s="11"/>
      <c r="V60" s="11"/>
      <c r="W60" s="11"/>
      <c r="X60" s="11"/>
      <c r="Y60" s="11"/>
      <c r="Z60" s="11"/>
    </row>
    <row r="61" spans="1:26" x14ac:dyDescent="0.2">
      <c r="A61" s="853"/>
      <c r="B61" s="832"/>
      <c r="C61" s="832"/>
      <c r="D61" s="832"/>
      <c r="E61" s="836"/>
      <c r="F61" s="458">
        <v>1.696</v>
      </c>
      <c r="G61" s="58" t="s">
        <v>27</v>
      </c>
      <c r="H61" s="58">
        <v>25</v>
      </c>
      <c r="I61" s="30" t="s">
        <v>149</v>
      </c>
      <c r="J61" s="58">
        <f>VLOOKUP(I61,References!$B$7:$F$252,5,FALSE)</f>
        <v>25</v>
      </c>
      <c r="K61" s="458">
        <v>-43.53</v>
      </c>
      <c r="L61" s="58" t="s">
        <v>27</v>
      </c>
      <c r="M61" s="30" t="s">
        <v>149</v>
      </c>
      <c r="N61" s="58">
        <f>VLOOKUP(M61,References!$B$7:$F$252,5,FALSE)</f>
        <v>25</v>
      </c>
      <c r="O61" s="458">
        <v>162</v>
      </c>
      <c r="P61" s="58" t="s">
        <v>27</v>
      </c>
      <c r="Q61" s="30" t="s">
        <v>150</v>
      </c>
      <c r="R61" s="100">
        <f>VLOOKUP(Q61,References!$B$7:$F$252,5,FALSE)</f>
        <v>108</v>
      </c>
      <c r="S61" s="3"/>
      <c r="T61" s="14"/>
      <c r="U61" s="11"/>
      <c r="V61" s="11"/>
      <c r="W61" s="11"/>
      <c r="X61" s="11"/>
      <c r="Y61" s="11"/>
      <c r="Z61" s="11"/>
    </row>
    <row r="62" spans="1:26" x14ac:dyDescent="0.2">
      <c r="A62" s="854"/>
      <c r="B62" s="834"/>
      <c r="C62" s="834"/>
      <c r="D62" s="834"/>
      <c r="E62" s="837"/>
      <c r="F62" s="457">
        <v>1.698</v>
      </c>
      <c r="G62" s="59" t="s">
        <v>27</v>
      </c>
      <c r="H62" s="59">
        <v>25</v>
      </c>
      <c r="I62" s="37" t="s">
        <v>150</v>
      </c>
      <c r="J62" s="59">
        <f>VLOOKUP(I62,References!$B$7:$F$252,5,FALSE)</f>
        <v>108</v>
      </c>
      <c r="K62" s="457"/>
      <c r="L62" s="59"/>
      <c r="M62" s="37"/>
      <c r="N62" s="59"/>
      <c r="O62" s="457"/>
      <c r="P62" s="59"/>
      <c r="Q62" s="37"/>
      <c r="R62" s="122"/>
      <c r="S62" s="3"/>
      <c r="T62" s="14"/>
      <c r="U62" s="11"/>
      <c r="V62" s="11"/>
      <c r="W62" s="11"/>
      <c r="X62" s="11"/>
      <c r="Y62" s="11"/>
      <c r="Z62" s="11"/>
    </row>
    <row r="63" spans="1:26" ht="17" x14ac:dyDescent="0.25">
      <c r="A63" s="295" t="s">
        <v>151</v>
      </c>
      <c r="B63" s="59" t="s">
        <v>152</v>
      </c>
      <c r="C63" s="239">
        <v>200.08</v>
      </c>
      <c r="D63" s="59" t="s">
        <v>1581</v>
      </c>
      <c r="E63" s="56" t="s">
        <v>153</v>
      </c>
      <c r="F63" s="225" t="s">
        <v>154</v>
      </c>
      <c r="G63" s="59" t="s">
        <v>33</v>
      </c>
      <c r="H63" s="59" t="s">
        <v>33</v>
      </c>
      <c r="I63" s="37" t="s">
        <v>31</v>
      </c>
      <c r="J63" s="56">
        <f>VLOOKUP(I63,References!$B$7:$F$252,5,FALSE)</f>
        <v>36</v>
      </c>
      <c r="K63" s="225" t="s">
        <v>155</v>
      </c>
      <c r="L63" s="59" t="s">
        <v>30</v>
      </c>
      <c r="M63" s="37" t="s">
        <v>31</v>
      </c>
      <c r="N63" s="59">
        <f>VLOOKUP(M63,References!$B$7:$F$252,5,FALSE)</f>
        <v>36</v>
      </c>
      <c r="O63" s="457" t="s">
        <v>156</v>
      </c>
      <c r="P63" s="59" t="s">
        <v>30</v>
      </c>
      <c r="Q63" s="37" t="s">
        <v>31</v>
      </c>
      <c r="R63" s="122">
        <f>VLOOKUP(Q63,References!$B$7:$F$252,5,FALSE)</f>
        <v>36</v>
      </c>
      <c r="S63" s="3"/>
      <c r="T63" s="14"/>
      <c r="U63" s="11"/>
      <c r="V63" s="11"/>
      <c r="W63" s="11"/>
      <c r="X63" s="11"/>
      <c r="Y63" s="11"/>
      <c r="Z63" s="11"/>
    </row>
    <row r="64" spans="1:26" ht="17" x14ac:dyDescent="0.25">
      <c r="A64" s="295" t="s">
        <v>157</v>
      </c>
      <c r="B64" s="59" t="s">
        <v>158</v>
      </c>
      <c r="C64" s="153">
        <v>250.09</v>
      </c>
      <c r="D64" s="131" t="s">
        <v>1582</v>
      </c>
      <c r="E64" s="120" t="s">
        <v>159</v>
      </c>
      <c r="F64" s="59" t="s">
        <v>160</v>
      </c>
      <c r="G64" s="59" t="s">
        <v>30</v>
      </c>
      <c r="H64" s="59" t="s">
        <v>33</v>
      </c>
      <c r="I64" s="37" t="s">
        <v>31</v>
      </c>
      <c r="J64" s="120">
        <f>VLOOKUP(I64,References!$B$7:$F$252,5,FALSE)</f>
        <v>36</v>
      </c>
      <c r="K64" s="59" t="s">
        <v>161</v>
      </c>
      <c r="L64" s="59" t="s">
        <v>30</v>
      </c>
      <c r="M64" s="37" t="s">
        <v>31</v>
      </c>
      <c r="N64" s="120">
        <f>VLOOKUP(M64,References!$B$7:$F$252,5,FALSE)</f>
        <v>36</v>
      </c>
      <c r="O64" s="59" t="s">
        <v>162</v>
      </c>
      <c r="P64" s="59" t="s">
        <v>30</v>
      </c>
      <c r="Q64" s="37" t="s">
        <v>31</v>
      </c>
      <c r="R64" s="124">
        <f>VLOOKUP(Q64,References!$B$7:$F$252,5,FALSE)</f>
        <v>36</v>
      </c>
      <c r="S64" s="3"/>
      <c r="T64" s="14"/>
      <c r="U64" s="11"/>
      <c r="V64" s="11"/>
      <c r="W64" s="11"/>
      <c r="X64" s="11"/>
      <c r="Y64" s="11"/>
      <c r="Z64" s="11"/>
    </row>
    <row r="65" spans="1:26" x14ac:dyDescent="0.2">
      <c r="A65" s="838" t="s">
        <v>163</v>
      </c>
      <c r="B65" s="832" t="s">
        <v>164</v>
      </c>
      <c r="C65" s="832">
        <v>300.10000000000002</v>
      </c>
      <c r="D65" s="832" t="s">
        <v>1583</v>
      </c>
      <c r="E65" s="832" t="s">
        <v>165</v>
      </c>
      <c r="F65" s="307">
        <v>1.8240000000000001</v>
      </c>
      <c r="G65" s="58" t="s">
        <v>27</v>
      </c>
      <c r="H65" s="58" t="s">
        <v>33</v>
      </c>
      <c r="I65" s="30" t="s">
        <v>47</v>
      </c>
      <c r="J65" s="58">
        <f>VLOOKUP(I65,References!$B$7:$F$252,5,FALSE)</f>
        <v>3</v>
      </c>
      <c r="K65" s="307" t="s">
        <v>166</v>
      </c>
      <c r="L65" s="58" t="s">
        <v>30</v>
      </c>
      <c r="M65" s="30" t="s">
        <v>31</v>
      </c>
      <c r="N65" s="58">
        <f>VLOOKUP(M65,References!$B$7:$F$252,5,FALSE)</f>
        <v>36</v>
      </c>
      <c r="O65" s="307">
        <v>198</v>
      </c>
      <c r="P65" s="58" t="s">
        <v>27</v>
      </c>
      <c r="Q65" s="30" t="s">
        <v>47</v>
      </c>
      <c r="R65" s="100">
        <f>VLOOKUP(Q65,References!$B$7:$F$252,5,FALSE)</f>
        <v>3</v>
      </c>
      <c r="S65" s="3"/>
      <c r="T65" s="11"/>
      <c r="U65" s="11"/>
      <c r="V65" s="11"/>
      <c r="W65" s="11"/>
      <c r="X65" s="11"/>
      <c r="Y65" s="11"/>
      <c r="Z65" s="11"/>
    </row>
    <row r="66" spans="1:26" x14ac:dyDescent="0.2">
      <c r="A66" s="838"/>
      <c r="B66" s="832"/>
      <c r="C66" s="832"/>
      <c r="D66" s="832"/>
      <c r="E66" s="832"/>
      <c r="F66" s="307" t="s">
        <v>167</v>
      </c>
      <c r="G66" s="58" t="s">
        <v>30</v>
      </c>
      <c r="H66" s="58" t="s">
        <v>33</v>
      </c>
      <c r="I66" s="30" t="s">
        <v>31</v>
      </c>
      <c r="J66" s="58">
        <f>VLOOKUP(I66,References!$B$7:$F$252,5,FALSE)</f>
        <v>36</v>
      </c>
      <c r="K66" s="307">
        <v>-21</v>
      </c>
      <c r="L66" s="58" t="s">
        <v>27</v>
      </c>
      <c r="M66" s="30" t="s">
        <v>47</v>
      </c>
      <c r="N66" s="58">
        <f>VLOOKUP(M66,References!$B$7:$F$252,5,FALSE)</f>
        <v>3</v>
      </c>
      <c r="O66" s="307" t="s">
        <v>168</v>
      </c>
      <c r="P66" s="58" t="s">
        <v>27</v>
      </c>
      <c r="Q66" s="30" t="s">
        <v>31</v>
      </c>
      <c r="R66" s="100">
        <f>VLOOKUP(Q66,References!$B$7:$F$252,5,FALSE)</f>
        <v>36</v>
      </c>
      <c r="S66" s="3"/>
      <c r="T66" s="11"/>
      <c r="U66" s="11"/>
      <c r="V66" s="11"/>
      <c r="W66" s="11"/>
      <c r="X66" s="11"/>
      <c r="Y66" s="11"/>
      <c r="Z66" s="11"/>
    </row>
    <row r="67" spans="1:26" x14ac:dyDescent="0.2">
      <c r="A67" s="838"/>
      <c r="B67" s="832"/>
      <c r="C67" s="832"/>
      <c r="D67" s="832"/>
      <c r="E67" s="832"/>
      <c r="F67" s="267"/>
      <c r="G67" s="59"/>
      <c r="H67" s="59"/>
      <c r="I67" s="37"/>
      <c r="J67" s="59"/>
      <c r="K67" s="267"/>
      <c r="L67" s="59"/>
      <c r="M67" s="37"/>
      <c r="N67" s="59"/>
      <c r="O67" s="267" t="s">
        <v>169</v>
      </c>
      <c r="P67" s="59" t="s">
        <v>30</v>
      </c>
      <c r="Q67" s="37" t="s">
        <v>31</v>
      </c>
      <c r="R67" s="122">
        <f>VLOOKUP(Q67,References!$B$7:$F$252,5,FALSE)</f>
        <v>36</v>
      </c>
      <c r="S67" s="3"/>
      <c r="T67" s="11"/>
      <c r="U67" s="11"/>
      <c r="V67" s="11"/>
      <c r="W67" s="11"/>
      <c r="X67" s="11"/>
      <c r="Y67" s="11"/>
      <c r="Z67" s="11"/>
    </row>
    <row r="68" spans="1:26" x14ac:dyDescent="0.2">
      <c r="A68" s="839" t="s">
        <v>170</v>
      </c>
      <c r="B68" s="833" t="s">
        <v>171</v>
      </c>
      <c r="C68" s="833">
        <v>350.1</v>
      </c>
      <c r="D68" s="833" t="s">
        <v>1584</v>
      </c>
      <c r="E68" s="833" t="s">
        <v>172</v>
      </c>
      <c r="F68" s="307" t="s">
        <v>173</v>
      </c>
      <c r="G68" s="58" t="s">
        <v>30</v>
      </c>
      <c r="H68" s="58" t="s">
        <v>33</v>
      </c>
      <c r="I68" s="30" t="s">
        <v>31</v>
      </c>
      <c r="J68" s="55">
        <f>VLOOKUP(I68,References!$B$7:$F$252,5,FALSE)</f>
        <v>36</v>
      </c>
      <c r="K68" s="58" t="s">
        <v>174</v>
      </c>
      <c r="L68" s="58" t="s">
        <v>30</v>
      </c>
      <c r="M68" s="30" t="s">
        <v>31</v>
      </c>
      <c r="N68" s="58">
        <f>VLOOKUP(M68,References!$B$7:$F$252,5,FALSE)</f>
        <v>36</v>
      </c>
      <c r="O68" s="307">
        <v>225</v>
      </c>
      <c r="P68" s="58" t="s">
        <v>27</v>
      </c>
      <c r="Q68" s="30" t="s">
        <v>47</v>
      </c>
      <c r="R68" s="100">
        <f>VLOOKUP(Q68,References!$B$7:$F$252,5,FALSE)</f>
        <v>3</v>
      </c>
      <c r="S68" s="3"/>
      <c r="T68" s="11"/>
      <c r="U68" s="11"/>
      <c r="V68" s="11"/>
      <c r="W68" s="11"/>
      <c r="X68" s="11"/>
      <c r="Y68" s="11"/>
      <c r="Z68" s="11"/>
    </row>
    <row r="69" spans="1:26" x14ac:dyDescent="0.2">
      <c r="A69" s="838"/>
      <c r="B69" s="832"/>
      <c r="C69" s="832"/>
      <c r="D69" s="832"/>
      <c r="E69" s="832"/>
      <c r="F69" s="307"/>
      <c r="G69" s="58"/>
      <c r="H69" s="58"/>
      <c r="I69" s="30"/>
      <c r="J69" s="55"/>
      <c r="K69" s="58"/>
      <c r="L69" s="58"/>
      <c r="M69" s="30"/>
      <c r="N69" s="58"/>
      <c r="O69" s="307">
        <v>225</v>
      </c>
      <c r="P69" s="58" t="s">
        <v>27</v>
      </c>
      <c r="Q69" s="30" t="s">
        <v>31</v>
      </c>
      <c r="R69" s="100">
        <f>VLOOKUP(Q69,References!$B$7:$F$252,5,FALSE)</f>
        <v>36</v>
      </c>
      <c r="S69" s="3"/>
      <c r="T69" s="11"/>
      <c r="U69" s="11"/>
      <c r="V69" s="11"/>
      <c r="W69" s="11"/>
      <c r="X69" s="11"/>
      <c r="Y69" s="11"/>
      <c r="Z69" s="11"/>
    </row>
    <row r="70" spans="1:26" x14ac:dyDescent="0.2">
      <c r="A70" s="840"/>
      <c r="B70" s="834"/>
      <c r="C70" s="834"/>
      <c r="D70" s="834"/>
      <c r="E70" s="834"/>
      <c r="F70" s="267"/>
      <c r="G70" s="59"/>
      <c r="H70" s="59"/>
      <c r="I70" s="40"/>
      <c r="J70" s="56"/>
      <c r="K70" s="59"/>
      <c r="L70" s="59"/>
      <c r="M70" s="40"/>
      <c r="N70" s="224"/>
      <c r="O70" s="267" t="s">
        <v>175</v>
      </c>
      <c r="P70" s="59" t="s">
        <v>30</v>
      </c>
      <c r="Q70" s="37" t="s">
        <v>31</v>
      </c>
      <c r="R70" s="122">
        <f>VLOOKUP(Q70,References!$B$7:$F$252,5,FALSE)</f>
        <v>36</v>
      </c>
      <c r="S70" s="3"/>
      <c r="T70" s="11"/>
      <c r="U70" s="11"/>
      <c r="V70" s="11"/>
      <c r="W70" s="11"/>
      <c r="X70" s="11"/>
      <c r="Y70" s="11"/>
      <c r="Z70" s="11"/>
    </row>
    <row r="71" spans="1:26" x14ac:dyDescent="0.2">
      <c r="A71" s="838" t="s">
        <v>176</v>
      </c>
      <c r="B71" s="832" t="s">
        <v>177</v>
      </c>
      <c r="C71" s="832">
        <v>400.1</v>
      </c>
      <c r="D71" s="832" t="s">
        <v>1585</v>
      </c>
      <c r="E71" s="832" t="s">
        <v>178</v>
      </c>
      <c r="F71" s="307">
        <v>1.841</v>
      </c>
      <c r="G71" s="58" t="s">
        <v>27</v>
      </c>
      <c r="H71" s="58" t="s">
        <v>33</v>
      </c>
      <c r="I71" s="30" t="s">
        <v>47</v>
      </c>
      <c r="J71" s="55">
        <f>VLOOKUP(I71,References!$B$7:$F$252,5,FALSE)</f>
        <v>3</v>
      </c>
      <c r="K71" s="58">
        <v>41</v>
      </c>
      <c r="L71" s="58" t="s">
        <v>27</v>
      </c>
      <c r="M71" s="30" t="s">
        <v>47</v>
      </c>
      <c r="N71" s="58">
        <f>VLOOKUP(M71,References!$B$7:$F$252,5,FALSE)</f>
        <v>3</v>
      </c>
      <c r="O71" s="307">
        <v>238.5</v>
      </c>
      <c r="P71" s="58" t="s">
        <v>27</v>
      </c>
      <c r="Q71" s="30" t="s">
        <v>47</v>
      </c>
      <c r="R71" s="100">
        <f>VLOOKUP(Q71,References!$B$7:$F$252,5,FALSE)</f>
        <v>3</v>
      </c>
      <c r="S71" s="3"/>
      <c r="T71" s="11"/>
      <c r="U71" s="11"/>
      <c r="V71" s="11"/>
      <c r="W71" s="11"/>
      <c r="X71" s="11"/>
      <c r="Y71" s="11"/>
      <c r="Z71" s="11"/>
    </row>
    <row r="72" spans="1:26" x14ac:dyDescent="0.2">
      <c r="A72" s="838"/>
      <c r="B72" s="832"/>
      <c r="C72" s="832"/>
      <c r="D72" s="832"/>
      <c r="E72" s="832"/>
      <c r="F72" s="307">
        <v>1.84</v>
      </c>
      <c r="G72" s="58" t="s">
        <v>30</v>
      </c>
      <c r="H72" s="58" t="s">
        <v>33</v>
      </c>
      <c r="I72" s="30" t="s">
        <v>31</v>
      </c>
      <c r="J72" s="55">
        <f>VLOOKUP(I72,References!$B$7:$F$252,5,FALSE)</f>
        <v>36</v>
      </c>
      <c r="K72" s="58">
        <v>190</v>
      </c>
      <c r="L72" s="58" t="s">
        <v>27</v>
      </c>
      <c r="M72" s="30" t="s">
        <v>31</v>
      </c>
      <c r="N72" s="58">
        <f>VLOOKUP(M72,References!$B$7:$F$252,5,FALSE)</f>
        <v>36</v>
      </c>
      <c r="O72" s="307" t="s">
        <v>179</v>
      </c>
      <c r="P72" s="58" t="s">
        <v>27</v>
      </c>
      <c r="Q72" s="30" t="s">
        <v>31</v>
      </c>
      <c r="R72" s="100">
        <f>VLOOKUP(Q72,References!$B$7:$F$252,5,FALSE)</f>
        <v>36</v>
      </c>
      <c r="S72" s="3"/>
      <c r="T72" s="11"/>
      <c r="U72" s="11"/>
      <c r="V72" s="11"/>
      <c r="W72" s="11"/>
      <c r="X72" s="11"/>
      <c r="Y72" s="11"/>
      <c r="Z72" s="11"/>
    </row>
    <row r="73" spans="1:26" x14ac:dyDescent="0.2">
      <c r="A73" s="838"/>
      <c r="B73" s="832"/>
      <c r="C73" s="832"/>
      <c r="D73" s="832"/>
      <c r="E73" s="832"/>
      <c r="F73" s="307"/>
      <c r="G73" s="58"/>
      <c r="H73" s="58"/>
      <c r="I73" s="30"/>
      <c r="J73" s="55"/>
      <c r="K73" s="58" t="s">
        <v>180</v>
      </c>
      <c r="L73" s="58" t="s">
        <v>30</v>
      </c>
      <c r="M73" s="30" t="s">
        <v>31</v>
      </c>
      <c r="N73" s="58">
        <f>VLOOKUP(M73,References!$B$7:$F$252,5,FALSE)</f>
        <v>36</v>
      </c>
      <c r="O73" s="307" t="s">
        <v>181</v>
      </c>
      <c r="P73" s="58" t="s">
        <v>30</v>
      </c>
      <c r="Q73" s="30" t="s">
        <v>31</v>
      </c>
      <c r="R73" s="100">
        <f>VLOOKUP(Q73,References!$B$7:$F$252,5,FALSE)</f>
        <v>36</v>
      </c>
      <c r="S73" s="3"/>
      <c r="T73" s="11"/>
      <c r="U73" s="11"/>
      <c r="V73" s="11"/>
      <c r="W73" s="11"/>
      <c r="X73" s="11"/>
      <c r="Y73" s="11"/>
      <c r="Z73" s="11"/>
    </row>
    <row r="74" spans="1:26" ht="17" x14ac:dyDescent="0.25">
      <c r="A74" s="742" t="s">
        <v>182</v>
      </c>
      <c r="B74" s="153" t="s">
        <v>183</v>
      </c>
      <c r="C74" s="153">
        <v>450.1</v>
      </c>
      <c r="D74" s="131" t="s">
        <v>1586</v>
      </c>
      <c r="E74" s="131" t="s">
        <v>184</v>
      </c>
      <c r="F74" s="312" t="s">
        <v>185</v>
      </c>
      <c r="G74" s="131" t="s">
        <v>30</v>
      </c>
      <c r="H74" s="131" t="s">
        <v>33</v>
      </c>
      <c r="I74" s="42" t="s">
        <v>31</v>
      </c>
      <c r="J74" s="120">
        <f>VLOOKUP(I74,References!$B$7:$F$252,5,FALSE)</f>
        <v>36</v>
      </c>
      <c r="K74" s="131" t="s">
        <v>186</v>
      </c>
      <c r="L74" s="131" t="s">
        <v>30</v>
      </c>
      <c r="M74" s="42" t="s">
        <v>31</v>
      </c>
      <c r="N74" s="131">
        <f>VLOOKUP(M74,References!$B$7:$F$252,5,FALSE)</f>
        <v>36</v>
      </c>
      <c r="O74" s="312" t="s">
        <v>187</v>
      </c>
      <c r="P74" s="131" t="s">
        <v>30</v>
      </c>
      <c r="Q74" s="42" t="s">
        <v>31</v>
      </c>
      <c r="R74" s="124">
        <f>VLOOKUP(Q74,References!$B$7:$F$252,5,FALSE)</f>
        <v>36</v>
      </c>
      <c r="S74" s="3"/>
      <c r="T74" s="11"/>
      <c r="U74" s="11"/>
      <c r="V74" s="11"/>
      <c r="W74" s="11"/>
      <c r="X74" s="11"/>
      <c r="Y74" s="11"/>
      <c r="Z74" s="11"/>
    </row>
    <row r="75" spans="1:26" x14ac:dyDescent="0.2">
      <c r="A75" s="830" t="s">
        <v>188</v>
      </c>
      <c r="B75" s="832" t="s">
        <v>189</v>
      </c>
      <c r="C75" s="832">
        <v>500.1</v>
      </c>
      <c r="D75" s="832" t="s">
        <v>1587</v>
      </c>
      <c r="E75" s="832" t="s">
        <v>190</v>
      </c>
      <c r="F75" s="307" t="s">
        <v>191</v>
      </c>
      <c r="G75" s="58" t="s">
        <v>30</v>
      </c>
      <c r="H75" s="58" t="s">
        <v>33</v>
      </c>
      <c r="I75" s="30" t="s">
        <v>31</v>
      </c>
      <c r="J75" s="55">
        <f>VLOOKUP(I75,References!$B$7:$F$252,5,FALSE)</f>
        <v>36</v>
      </c>
      <c r="K75" s="58">
        <v>53</v>
      </c>
      <c r="L75" s="58" t="s">
        <v>27</v>
      </c>
      <c r="M75" s="30" t="s">
        <v>47</v>
      </c>
      <c r="N75" s="58">
        <f>VLOOKUP(M75,References!$B$7:$F$252,5,FALSE)</f>
        <v>3</v>
      </c>
      <c r="O75" s="307">
        <v>249</v>
      </c>
      <c r="P75" s="58" t="s">
        <v>27</v>
      </c>
      <c r="Q75" s="30" t="s">
        <v>47</v>
      </c>
      <c r="R75" s="100">
        <f>VLOOKUP(Q75,References!$B$7:$F$252,5,FALSE)</f>
        <v>3</v>
      </c>
      <c r="S75" s="3"/>
      <c r="T75" s="11"/>
      <c r="U75" s="11"/>
      <c r="V75" s="11"/>
      <c r="W75" s="11"/>
      <c r="X75" s="11"/>
      <c r="Y75" s="11"/>
      <c r="Z75" s="11"/>
    </row>
    <row r="76" spans="1:26" x14ac:dyDescent="0.2">
      <c r="A76" s="830"/>
      <c r="B76" s="832"/>
      <c r="C76" s="832"/>
      <c r="D76" s="832"/>
      <c r="E76" s="832"/>
      <c r="F76" s="307"/>
      <c r="G76" s="58"/>
      <c r="H76" s="58"/>
      <c r="I76" s="30"/>
      <c r="J76" s="55"/>
      <c r="K76" s="58" t="s">
        <v>192</v>
      </c>
      <c r="L76" s="58" t="s">
        <v>30</v>
      </c>
      <c r="M76" s="30" t="s">
        <v>31</v>
      </c>
      <c r="N76" s="58">
        <f>VLOOKUP(M76,References!$B$7:$F$252,5,FALSE)</f>
        <v>36</v>
      </c>
      <c r="O76" s="307" t="s">
        <v>193</v>
      </c>
      <c r="P76" s="58" t="s">
        <v>27</v>
      </c>
      <c r="Q76" s="30" t="s">
        <v>31</v>
      </c>
      <c r="R76" s="100">
        <f>VLOOKUP(Q76,References!$B$7:$F$252,5,FALSE)</f>
        <v>36</v>
      </c>
      <c r="S76" s="3"/>
      <c r="T76" s="11"/>
      <c r="U76" s="11"/>
      <c r="V76" s="11"/>
      <c r="W76" s="11"/>
      <c r="X76" s="11"/>
      <c r="Y76" s="11"/>
      <c r="Z76" s="11"/>
    </row>
    <row r="77" spans="1:26" x14ac:dyDescent="0.2">
      <c r="A77" s="830"/>
      <c r="B77" s="832"/>
      <c r="C77" s="832"/>
      <c r="D77" s="832"/>
      <c r="E77" s="832"/>
      <c r="F77" s="307"/>
      <c r="G77" s="58"/>
      <c r="H77" s="58"/>
      <c r="I77" s="39"/>
      <c r="J77" s="55"/>
      <c r="K77" s="58"/>
      <c r="L77" s="58"/>
      <c r="M77" s="30"/>
      <c r="N77" s="58"/>
      <c r="O77" s="307" t="s">
        <v>194</v>
      </c>
      <c r="P77" s="58" t="s">
        <v>30</v>
      </c>
      <c r="Q77" s="30" t="s">
        <v>31</v>
      </c>
      <c r="R77" s="100">
        <f>VLOOKUP(Q77,References!$B$7:$F$252,5,FALSE)</f>
        <v>36</v>
      </c>
      <c r="S77" s="3"/>
      <c r="T77" s="11"/>
      <c r="U77" s="11"/>
      <c r="V77" s="11"/>
      <c r="W77" s="11"/>
      <c r="X77" s="11"/>
      <c r="Y77" s="11"/>
      <c r="Z77" s="11"/>
    </row>
    <row r="78" spans="1:26" ht="17" x14ac:dyDescent="0.25">
      <c r="A78" s="742" t="s">
        <v>195</v>
      </c>
      <c r="B78" s="153" t="s">
        <v>196</v>
      </c>
      <c r="C78" s="153">
        <v>550.1</v>
      </c>
      <c r="D78" s="131" t="s">
        <v>1588</v>
      </c>
      <c r="E78" s="131" t="s">
        <v>197</v>
      </c>
      <c r="F78" s="312" t="s">
        <v>198</v>
      </c>
      <c r="G78" s="131" t="s">
        <v>30</v>
      </c>
      <c r="H78" s="131" t="s">
        <v>33</v>
      </c>
      <c r="I78" s="42" t="s">
        <v>31</v>
      </c>
      <c r="J78" s="120">
        <f>VLOOKUP(I78,References!$B$7:$F$252,5,FALSE)</f>
        <v>36</v>
      </c>
      <c r="K78" s="131" t="s">
        <v>199</v>
      </c>
      <c r="L78" s="131" t="s">
        <v>30</v>
      </c>
      <c r="M78" s="42" t="s">
        <v>31</v>
      </c>
      <c r="N78" s="131">
        <f>VLOOKUP(M78,References!$B$7:$F$252,5,FALSE)</f>
        <v>36</v>
      </c>
      <c r="O78" s="312" t="s">
        <v>200</v>
      </c>
      <c r="P78" s="131" t="s">
        <v>30</v>
      </c>
      <c r="Q78" s="42" t="s">
        <v>31</v>
      </c>
      <c r="R78" s="124">
        <f>VLOOKUP(Q78,References!$B$7:$F$252,5,FALSE)</f>
        <v>36</v>
      </c>
      <c r="S78" s="3"/>
      <c r="T78" s="14"/>
      <c r="U78" s="11"/>
      <c r="V78" s="11"/>
      <c r="W78" s="11"/>
      <c r="X78" s="11"/>
      <c r="Y78" s="11"/>
      <c r="Z78" s="11"/>
    </row>
    <row r="79" spans="1:26" ht="17" x14ac:dyDescent="0.25">
      <c r="A79" s="742" t="s">
        <v>201</v>
      </c>
      <c r="B79" s="153" t="s">
        <v>202</v>
      </c>
      <c r="C79" s="153">
        <v>600.1</v>
      </c>
      <c r="D79" s="131" t="s">
        <v>1589</v>
      </c>
      <c r="E79" s="131" t="s">
        <v>203</v>
      </c>
      <c r="F79" s="312" t="s">
        <v>204</v>
      </c>
      <c r="G79" s="131" t="s">
        <v>30</v>
      </c>
      <c r="H79" s="131" t="s">
        <v>33</v>
      </c>
      <c r="I79" s="42" t="s">
        <v>31</v>
      </c>
      <c r="J79" s="120">
        <f>VLOOKUP(I79,References!$B$7:$F$252,5,FALSE)</f>
        <v>36</v>
      </c>
      <c r="K79" s="131" t="s">
        <v>205</v>
      </c>
      <c r="L79" s="131" t="s">
        <v>30</v>
      </c>
      <c r="M79" s="42" t="s">
        <v>31</v>
      </c>
      <c r="N79" s="131">
        <f>VLOOKUP(M79,References!$B$7:$F$252,5,FALSE)</f>
        <v>36</v>
      </c>
      <c r="O79" s="312" t="s">
        <v>206</v>
      </c>
      <c r="P79" s="131" t="s">
        <v>30</v>
      </c>
      <c r="Q79" s="42" t="s">
        <v>31</v>
      </c>
      <c r="R79" s="124">
        <f>VLOOKUP(Q79,References!$B$7:$F$252,5,FALSE)</f>
        <v>36</v>
      </c>
      <c r="S79" s="3"/>
      <c r="T79" s="11"/>
      <c r="U79" s="11"/>
      <c r="V79" s="11"/>
      <c r="W79" s="11"/>
      <c r="X79" s="11"/>
      <c r="Y79" s="11"/>
      <c r="Z79" s="11"/>
    </row>
    <row r="80" spans="1:26" ht="18" thickBot="1" x14ac:dyDescent="0.3">
      <c r="A80" s="743" t="s">
        <v>207</v>
      </c>
      <c r="B80" s="146" t="s">
        <v>208</v>
      </c>
      <c r="C80" s="146">
        <v>700.2</v>
      </c>
      <c r="D80" s="131" t="s">
        <v>1590</v>
      </c>
      <c r="E80" s="138" t="s">
        <v>209</v>
      </c>
      <c r="F80" s="313">
        <v>1.83</v>
      </c>
      <c r="G80" s="138" t="s">
        <v>30</v>
      </c>
      <c r="H80" s="138" t="s">
        <v>33</v>
      </c>
      <c r="I80" s="210" t="s">
        <v>31</v>
      </c>
      <c r="J80" s="227">
        <f>VLOOKUP(I80,References!$B$7:$F$252,5,FALSE)</f>
        <v>36</v>
      </c>
      <c r="K80" s="138">
        <v>164</v>
      </c>
      <c r="L80" s="138" t="s">
        <v>30</v>
      </c>
      <c r="M80" s="210" t="s">
        <v>31</v>
      </c>
      <c r="N80" s="227">
        <f>VLOOKUP(M80,References!$B$7:$F$252,5,FALSE)</f>
        <v>36</v>
      </c>
      <c r="O80" s="138">
        <v>224</v>
      </c>
      <c r="P80" s="138" t="s">
        <v>30</v>
      </c>
      <c r="Q80" s="210" t="s">
        <v>31</v>
      </c>
      <c r="R80" s="101">
        <f>VLOOKUP(Q80,References!$B$7:$F$252,5,FALSE)</f>
        <v>36</v>
      </c>
      <c r="S80" s="3"/>
      <c r="T80" s="11"/>
      <c r="U80" s="11"/>
      <c r="V80" s="11"/>
      <c r="W80" s="11"/>
      <c r="X80" s="11"/>
      <c r="Y80" s="11"/>
      <c r="Z80" s="11"/>
    </row>
    <row r="81" spans="1:26" ht="16" thickBot="1" x14ac:dyDescent="0.25">
      <c r="A81" s="237" t="s">
        <v>210</v>
      </c>
      <c r="B81" s="129" t="s">
        <v>211</v>
      </c>
      <c r="C81" s="82"/>
      <c r="D81" s="79"/>
      <c r="E81" s="79"/>
      <c r="F81" s="79"/>
      <c r="G81" s="79"/>
      <c r="H81" s="79"/>
      <c r="I81" s="128"/>
      <c r="J81" s="79"/>
      <c r="K81" s="79"/>
      <c r="L81" s="79"/>
      <c r="M81" s="128"/>
      <c r="N81" s="79"/>
      <c r="O81" s="79"/>
      <c r="P81" s="79"/>
      <c r="Q81" s="128"/>
      <c r="R81" s="80"/>
      <c r="S81" s="3"/>
      <c r="T81" s="11"/>
      <c r="U81" s="11"/>
      <c r="V81" s="11"/>
      <c r="W81" s="11"/>
      <c r="X81" s="11"/>
      <c r="Y81" s="11"/>
      <c r="Z81" s="11"/>
    </row>
    <row r="82" spans="1:26" ht="17" x14ac:dyDescent="0.25">
      <c r="A82" s="595" t="s">
        <v>212</v>
      </c>
      <c r="B82" s="296" t="s">
        <v>213</v>
      </c>
      <c r="C82" s="466">
        <v>178.1</v>
      </c>
      <c r="D82" s="59" t="s">
        <v>1591</v>
      </c>
      <c r="E82" s="296" t="s">
        <v>214</v>
      </c>
      <c r="F82" s="744">
        <v>178</v>
      </c>
      <c r="G82" s="296" t="s">
        <v>30</v>
      </c>
      <c r="H82" s="296" t="s">
        <v>33</v>
      </c>
      <c r="I82" s="37" t="s">
        <v>31</v>
      </c>
      <c r="J82" s="56">
        <f>VLOOKUP(I82,References!$B$7:$F$252,5,FALSE)</f>
        <v>36</v>
      </c>
      <c r="K82" s="745">
        <v>10</v>
      </c>
      <c r="L82" s="296" t="s">
        <v>30</v>
      </c>
      <c r="M82" s="37" t="s">
        <v>31</v>
      </c>
      <c r="N82" s="56">
        <f>VLOOKUP(M82,References!$B$7:$F$252,5,FALSE)</f>
        <v>36</v>
      </c>
      <c r="O82" s="745">
        <v>111</v>
      </c>
      <c r="P82" s="296" t="s">
        <v>30</v>
      </c>
      <c r="Q82" s="37" t="s">
        <v>31</v>
      </c>
      <c r="R82" s="122">
        <f>VLOOKUP(Q82,References!$B$7:$F$252,5,FALSE)</f>
        <v>36</v>
      </c>
      <c r="S82" s="3"/>
      <c r="T82" s="11"/>
      <c r="U82" s="11"/>
      <c r="V82" s="11"/>
      <c r="W82" s="11"/>
      <c r="X82" s="11"/>
      <c r="Y82" s="11"/>
      <c r="Z82" s="11"/>
    </row>
    <row r="83" spans="1:26" ht="17" x14ac:dyDescent="0.25">
      <c r="A83" s="295" t="s">
        <v>215</v>
      </c>
      <c r="B83" s="59" t="s">
        <v>216</v>
      </c>
      <c r="C83" s="239">
        <v>242.1</v>
      </c>
      <c r="D83" s="59" t="s">
        <v>1592</v>
      </c>
      <c r="E83" s="59" t="s">
        <v>217</v>
      </c>
      <c r="F83" s="457" t="s">
        <v>218</v>
      </c>
      <c r="G83" s="59" t="s">
        <v>30</v>
      </c>
      <c r="H83" s="59" t="s">
        <v>33</v>
      </c>
      <c r="I83" s="37" t="s">
        <v>31</v>
      </c>
      <c r="J83" s="56">
        <f>VLOOKUP(I83,References!$B$7:$F$252,5,FALSE)</f>
        <v>36</v>
      </c>
      <c r="K83" s="225" t="s">
        <v>219</v>
      </c>
      <c r="L83" s="59" t="s">
        <v>30</v>
      </c>
      <c r="M83" s="37" t="s">
        <v>31</v>
      </c>
      <c r="N83" s="56">
        <f>VLOOKUP(M83,References!$B$7:$F$252,5,FALSE)</f>
        <v>36</v>
      </c>
      <c r="O83" s="225" t="s">
        <v>220</v>
      </c>
      <c r="P83" s="59" t="s">
        <v>30</v>
      </c>
      <c r="Q83" s="37" t="s">
        <v>31</v>
      </c>
      <c r="R83" s="122">
        <f>VLOOKUP(Q83,References!$B$7:$F$252,5,FALSE)</f>
        <v>36</v>
      </c>
      <c r="S83" s="3"/>
      <c r="T83" s="11"/>
      <c r="U83" s="11"/>
      <c r="V83" s="11"/>
      <c r="W83" s="11"/>
      <c r="X83" s="11"/>
      <c r="Y83" s="11"/>
      <c r="Z83" s="11"/>
    </row>
    <row r="84" spans="1:26" ht="17" x14ac:dyDescent="0.2">
      <c r="A84" s="295" t="s">
        <v>221</v>
      </c>
      <c r="B84" s="131" t="s">
        <v>222</v>
      </c>
      <c r="C84" s="153">
        <v>278.10000000000002</v>
      </c>
      <c r="D84" s="153" t="s">
        <v>1593</v>
      </c>
      <c r="E84" s="131" t="s">
        <v>223</v>
      </c>
      <c r="F84" s="746">
        <v>278</v>
      </c>
      <c r="G84" s="131" t="s">
        <v>30</v>
      </c>
      <c r="H84" s="131" t="s">
        <v>33</v>
      </c>
      <c r="I84" s="37" t="s">
        <v>31</v>
      </c>
      <c r="J84" s="56">
        <f>VLOOKUP(I84,References!$B$7:$F$252,5,FALSE)</f>
        <v>36</v>
      </c>
      <c r="K84" s="747">
        <v>1</v>
      </c>
      <c r="L84" s="131" t="s">
        <v>30</v>
      </c>
      <c r="M84" s="37" t="s">
        <v>31</v>
      </c>
      <c r="N84" s="56">
        <f>VLOOKUP(M84,References!$B$7:$F$252,5,FALSE)</f>
        <v>36</v>
      </c>
      <c r="O84" s="747">
        <v>156</v>
      </c>
      <c r="P84" s="59" t="s">
        <v>30</v>
      </c>
      <c r="Q84" s="37" t="s">
        <v>31</v>
      </c>
      <c r="R84" s="122">
        <f>VLOOKUP(Q84,References!$B$7:$F$252,5,FALSE)</f>
        <v>36</v>
      </c>
      <c r="S84" s="3"/>
      <c r="T84" s="11"/>
      <c r="U84" s="11"/>
      <c r="V84" s="11"/>
      <c r="W84" s="11"/>
      <c r="X84" s="11"/>
      <c r="Y84" s="11"/>
      <c r="Z84" s="11"/>
    </row>
    <row r="85" spans="1:26" ht="18" customHeight="1" x14ac:dyDescent="0.2">
      <c r="A85" s="838" t="s">
        <v>224</v>
      </c>
      <c r="B85" s="832" t="s">
        <v>225</v>
      </c>
      <c r="C85" s="841">
        <v>342.1</v>
      </c>
      <c r="D85" s="832" t="s">
        <v>1594</v>
      </c>
      <c r="E85" s="832" t="s">
        <v>226</v>
      </c>
      <c r="F85" s="307">
        <v>1.59</v>
      </c>
      <c r="G85" s="58" t="s">
        <v>30</v>
      </c>
      <c r="H85" s="58" t="s">
        <v>33</v>
      </c>
      <c r="I85" s="30" t="s">
        <v>31</v>
      </c>
      <c r="J85" s="55">
        <f>VLOOKUP(I85,References!$B$7:$F$252,5,FALSE)</f>
        <v>36</v>
      </c>
      <c r="K85" s="58" t="s">
        <v>227</v>
      </c>
      <c r="L85" s="58" t="s">
        <v>27</v>
      </c>
      <c r="M85" s="30" t="s">
        <v>228</v>
      </c>
      <c r="N85" s="58">
        <f>VLOOKUP(M85,References!$B$7:$F$252,5,FALSE)</f>
        <v>8</v>
      </c>
      <c r="O85" s="307" t="s">
        <v>229</v>
      </c>
      <c r="P85" s="58" t="s">
        <v>30</v>
      </c>
      <c r="Q85" s="30" t="s">
        <v>31</v>
      </c>
      <c r="R85" s="100">
        <f>VLOOKUP(Q85,References!$B$7:$F$252,5,FALSE)</f>
        <v>36</v>
      </c>
      <c r="S85" s="3"/>
    </row>
    <row r="86" spans="1:26" x14ac:dyDescent="0.2">
      <c r="A86" s="840"/>
      <c r="B86" s="834"/>
      <c r="C86" s="842"/>
      <c r="D86" s="834"/>
      <c r="E86" s="834"/>
      <c r="F86" s="267"/>
      <c r="G86" s="59"/>
      <c r="H86" s="59"/>
      <c r="I86" s="37"/>
      <c r="J86" s="56"/>
      <c r="K86" s="59">
        <v>10.4</v>
      </c>
      <c r="L86" s="59" t="s">
        <v>30</v>
      </c>
      <c r="M86" s="37" t="s">
        <v>31</v>
      </c>
      <c r="N86" s="59">
        <f>VLOOKUP(M86,References!$B$7:$F$252,5,FALSE)</f>
        <v>36</v>
      </c>
      <c r="O86" s="267"/>
      <c r="P86" s="59"/>
      <c r="Q86" s="40"/>
      <c r="R86" s="310"/>
      <c r="S86" s="3"/>
    </row>
    <row r="87" spans="1:26" x14ac:dyDescent="0.2">
      <c r="A87" s="839" t="s">
        <v>230</v>
      </c>
      <c r="B87" s="833" t="s">
        <v>231</v>
      </c>
      <c r="C87" s="843">
        <v>378.1</v>
      </c>
      <c r="D87" s="833" t="s">
        <v>1595</v>
      </c>
      <c r="E87" s="833" t="s">
        <v>232</v>
      </c>
      <c r="F87" s="308" t="s">
        <v>233</v>
      </c>
      <c r="G87" s="57" t="s">
        <v>30</v>
      </c>
      <c r="H87" s="57" t="s">
        <v>33</v>
      </c>
      <c r="I87" s="41" t="s">
        <v>31</v>
      </c>
      <c r="J87" s="54">
        <f>VLOOKUP(I87,References!$B$7:$F$252,5,FALSE)</f>
        <v>36</v>
      </c>
      <c r="K87" s="57">
        <v>55</v>
      </c>
      <c r="L87" s="57" t="s">
        <v>27</v>
      </c>
      <c r="M87" s="41" t="s">
        <v>228</v>
      </c>
      <c r="N87" s="57">
        <f>VLOOKUP(M87,References!$B$7:$F$252,5,FALSE)</f>
        <v>8</v>
      </c>
      <c r="O87" s="308" t="s">
        <v>234</v>
      </c>
      <c r="P87" s="57" t="s">
        <v>30</v>
      </c>
      <c r="Q87" s="41" t="s">
        <v>31</v>
      </c>
      <c r="R87" s="121">
        <f>VLOOKUP(Q87,References!$B$7:$F$252,5,FALSE)</f>
        <v>36</v>
      </c>
      <c r="S87" s="3"/>
    </row>
    <row r="88" spans="1:26" x14ac:dyDescent="0.2">
      <c r="A88" s="840"/>
      <c r="B88" s="834"/>
      <c r="C88" s="842"/>
      <c r="D88" s="834"/>
      <c r="E88" s="834"/>
      <c r="F88" s="267"/>
      <c r="G88" s="59"/>
      <c r="H88" s="59"/>
      <c r="I88" s="37"/>
      <c r="J88" s="56"/>
      <c r="K88" s="59" t="s">
        <v>235</v>
      </c>
      <c r="L88" s="59" t="s">
        <v>30</v>
      </c>
      <c r="M88" s="37" t="s">
        <v>31</v>
      </c>
      <c r="N88" s="59">
        <f>VLOOKUP(M88,References!$B$7:$F$252,5,FALSE)</f>
        <v>36</v>
      </c>
      <c r="O88" s="267"/>
      <c r="P88" s="59"/>
      <c r="Q88" s="40"/>
      <c r="R88" s="310"/>
      <c r="S88" s="3"/>
    </row>
    <row r="89" spans="1:26" ht="15" customHeight="1" x14ac:dyDescent="0.2">
      <c r="A89" s="191" t="s">
        <v>236</v>
      </c>
      <c r="B89" s="153" t="s">
        <v>237</v>
      </c>
      <c r="C89" s="141">
        <v>442.1</v>
      </c>
      <c r="D89" s="153" t="s">
        <v>1596</v>
      </c>
      <c r="E89" s="153" t="s">
        <v>238</v>
      </c>
      <c r="F89" s="312" t="s">
        <v>239</v>
      </c>
      <c r="G89" s="131" t="s">
        <v>30</v>
      </c>
      <c r="H89" s="131" t="s">
        <v>33</v>
      </c>
      <c r="I89" s="42" t="s">
        <v>31</v>
      </c>
      <c r="J89" s="120">
        <f>VLOOKUP(I89,References!$B$7:$F$252,5,FALSE)</f>
        <v>36</v>
      </c>
      <c r="K89" s="131" t="s">
        <v>240</v>
      </c>
      <c r="L89" s="131" t="s">
        <v>30</v>
      </c>
      <c r="M89" s="42" t="s">
        <v>31</v>
      </c>
      <c r="N89" s="120">
        <f>VLOOKUP(M89,References!$B$7:$F$252,5,FALSE)</f>
        <v>36</v>
      </c>
      <c r="O89" s="312" t="s">
        <v>241</v>
      </c>
      <c r="P89" s="131" t="s">
        <v>30</v>
      </c>
      <c r="Q89" s="42" t="s">
        <v>31</v>
      </c>
      <c r="R89" s="124">
        <f>VLOOKUP(Q89,References!$B$7:$F$252,5,FALSE)</f>
        <v>36</v>
      </c>
      <c r="S89" s="3"/>
    </row>
    <row r="90" spans="1:26" ht="17" x14ac:dyDescent="0.2">
      <c r="A90" s="207" t="s">
        <v>242</v>
      </c>
      <c r="B90" s="153" t="s">
        <v>243</v>
      </c>
      <c r="C90" s="141">
        <v>477.1</v>
      </c>
      <c r="D90" s="153" t="s">
        <v>1597</v>
      </c>
      <c r="E90" s="479" t="s">
        <v>244</v>
      </c>
      <c r="F90" s="131" t="s">
        <v>245</v>
      </c>
      <c r="G90" s="131" t="s">
        <v>30</v>
      </c>
      <c r="H90" s="131" t="s">
        <v>33</v>
      </c>
      <c r="I90" s="42" t="s">
        <v>31</v>
      </c>
      <c r="J90" s="120">
        <f>VLOOKUP(I90,References!$B$7:$F$252,5,FALSE)</f>
        <v>36</v>
      </c>
      <c r="K90" s="131" t="s">
        <v>246</v>
      </c>
      <c r="L90" s="131" t="s">
        <v>30</v>
      </c>
      <c r="M90" s="42" t="s">
        <v>31</v>
      </c>
      <c r="N90" s="120">
        <f>VLOOKUP(M90,References!$B$7:$F$252,5,FALSE)</f>
        <v>36</v>
      </c>
      <c r="O90" s="131" t="s">
        <v>247</v>
      </c>
      <c r="P90" s="131" t="s">
        <v>30</v>
      </c>
      <c r="Q90" s="42" t="s">
        <v>31</v>
      </c>
      <c r="R90" s="124">
        <f>VLOOKUP(Q90,References!$B$7:$F$252,5,FALSE)</f>
        <v>36</v>
      </c>
      <c r="S90" s="3"/>
    </row>
    <row r="91" spans="1:26" ht="17" x14ac:dyDescent="0.2">
      <c r="A91" s="207" t="s">
        <v>248</v>
      </c>
      <c r="B91" s="239" t="s">
        <v>249</v>
      </c>
      <c r="C91" s="294">
        <v>578.1</v>
      </c>
      <c r="D91" s="153" t="s">
        <v>1598</v>
      </c>
      <c r="E91" s="479" t="s">
        <v>250</v>
      </c>
      <c r="F91" s="59">
        <v>1.72</v>
      </c>
      <c r="G91" s="131" t="s">
        <v>30</v>
      </c>
      <c r="H91" s="131" t="s">
        <v>33</v>
      </c>
      <c r="I91" s="42" t="s">
        <v>31</v>
      </c>
      <c r="J91" s="120">
        <f>VLOOKUP(I91,References!$B$7:$F$252,5,FALSE)</f>
        <v>36</v>
      </c>
      <c r="K91" s="59">
        <v>89</v>
      </c>
      <c r="L91" s="131" t="s">
        <v>30</v>
      </c>
      <c r="M91" s="42" t="s">
        <v>31</v>
      </c>
      <c r="N91" s="120">
        <f>VLOOKUP(M91,References!$B$7:$F$252,5,FALSE)</f>
        <v>36</v>
      </c>
      <c r="O91" s="59" t="s">
        <v>251</v>
      </c>
      <c r="P91" s="131" t="s">
        <v>30</v>
      </c>
      <c r="Q91" s="42" t="s">
        <v>31</v>
      </c>
      <c r="R91" s="124">
        <f>VLOOKUP(Q91,References!$B$7:$F$252,5,FALSE)</f>
        <v>36</v>
      </c>
      <c r="S91" s="3"/>
    </row>
    <row r="92" spans="1:26" ht="18" thickBot="1" x14ac:dyDescent="0.25">
      <c r="A92" s="207" t="s">
        <v>252</v>
      </c>
      <c r="B92" s="146" t="s">
        <v>253</v>
      </c>
      <c r="C92" s="139">
        <v>678.1</v>
      </c>
      <c r="D92" s="153" t="s">
        <v>1599</v>
      </c>
      <c r="E92" s="748" t="s">
        <v>254</v>
      </c>
      <c r="F92" s="138">
        <v>678</v>
      </c>
      <c r="G92" s="131" t="s">
        <v>30</v>
      </c>
      <c r="H92" s="131" t="s">
        <v>33</v>
      </c>
      <c r="I92" s="42" t="s">
        <v>31</v>
      </c>
      <c r="J92" s="120">
        <f>VLOOKUP(I92,References!$B$7:$F$252,5,FALSE)</f>
        <v>36</v>
      </c>
      <c r="K92" s="138">
        <v>113</v>
      </c>
      <c r="L92" s="131" t="s">
        <v>30</v>
      </c>
      <c r="M92" s="42" t="s">
        <v>31</v>
      </c>
      <c r="N92" s="120">
        <f>VLOOKUP(M92,References!$B$7:$F$252,5,FALSE)</f>
        <v>36</v>
      </c>
      <c r="O92" s="138">
        <v>219</v>
      </c>
      <c r="P92" s="131" t="s">
        <v>30</v>
      </c>
      <c r="Q92" s="42" t="s">
        <v>31</v>
      </c>
      <c r="R92" s="124">
        <f>VLOOKUP(Q92,References!$B$7:$F$252,5,FALSE)</f>
        <v>36</v>
      </c>
      <c r="S92" s="3"/>
    </row>
    <row r="93" spans="1:26" ht="16" thickBot="1" x14ac:dyDescent="0.25">
      <c r="A93" s="237" t="s">
        <v>255</v>
      </c>
      <c r="B93" s="129" t="s">
        <v>256</v>
      </c>
      <c r="C93" s="82"/>
      <c r="D93" s="79"/>
      <c r="E93" s="79"/>
      <c r="F93" s="79"/>
      <c r="G93" s="79"/>
      <c r="H93" s="79"/>
      <c r="I93" s="128"/>
      <c r="J93" s="79"/>
      <c r="K93" s="79"/>
      <c r="L93" s="79"/>
      <c r="M93" s="128"/>
      <c r="N93" s="79"/>
      <c r="O93" s="79"/>
      <c r="P93" s="79"/>
      <c r="Q93" s="128"/>
      <c r="R93" s="80"/>
      <c r="S93" s="3"/>
    </row>
    <row r="94" spans="1:26" ht="17" x14ac:dyDescent="0.25">
      <c r="A94" s="301" t="s">
        <v>257</v>
      </c>
      <c r="B94" s="156" t="s">
        <v>258</v>
      </c>
      <c r="C94" s="156">
        <v>328.2</v>
      </c>
      <c r="D94" s="135" t="s">
        <v>1600</v>
      </c>
      <c r="E94" s="135" t="s">
        <v>259</v>
      </c>
      <c r="F94" s="305">
        <v>1.68</v>
      </c>
      <c r="G94" s="135" t="s">
        <v>30</v>
      </c>
      <c r="H94" s="135" t="s">
        <v>33</v>
      </c>
      <c r="I94" s="201" t="s">
        <v>31</v>
      </c>
      <c r="J94" s="120">
        <f>VLOOKUP(I94,References!$B$7:$F$252,5,FALSE)</f>
        <v>36</v>
      </c>
      <c r="K94" s="135">
        <v>90.6</v>
      </c>
      <c r="L94" s="135" t="s">
        <v>30</v>
      </c>
      <c r="M94" s="201" t="s">
        <v>31</v>
      </c>
      <c r="N94" s="135">
        <f>VLOOKUP(M94,References!$B$7:$F$252,5,FALSE)</f>
        <v>36</v>
      </c>
      <c r="O94" s="305">
        <v>216</v>
      </c>
      <c r="P94" s="135" t="s">
        <v>30</v>
      </c>
      <c r="Q94" s="201" t="s">
        <v>31</v>
      </c>
      <c r="R94" s="99">
        <f>VLOOKUP(Q94,References!$B$7:$F$252,5,FALSE)</f>
        <v>36</v>
      </c>
      <c r="S94" s="3"/>
      <c r="T94" s="11"/>
      <c r="U94" s="11"/>
      <c r="V94" s="11"/>
      <c r="W94" s="11"/>
      <c r="X94" s="11"/>
      <c r="Y94" s="11"/>
      <c r="Z94" s="11"/>
    </row>
    <row r="95" spans="1:26" ht="17" x14ac:dyDescent="0.25">
      <c r="A95" s="742" t="s">
        <v>260</v>
      </c>
      <c r="B95" s="153" t="s">
        <v>261</v>
      </c>
      <c r="C95" s="153">
        <v>428.2</v>
      </c>
      <c r="D95" s="131" t="s">
        <v>1601</v>
      </c>
      <c r="E95" s="131" t="s">
        <v>262</v>
      </c>
      <c r="F95" s="312" t="s">
        <v>263</v>
      </c>
      <c r="G95" s="131" t="s">
        <v>30</v>
      </c>
      <c r="H95" s="131" t="s">
        <v>33</v>
      </c>
      <c r="I95" s="42" t="s">
        <v>31</v>
      </c>
      <c r="J95" s="120">
        <f>VLOOKUP(I95,References!$B$7:$F$252,5,FALSE)</f>
        <v>36</v>
      </c>
      <c r="K95" s="131" t="s">
        <v>264</v>
      </c>
      <c r="L95" s="131" t="s">
        <v>30</v>
      </c>
      <c r="M95" s="42" t="s">
        <v>31</v>
      </c>
      <c r="N95" s="131">
        <f>VLOOKUP(M95,References!$B$7:$F$252,5,FALSE)</f>
        <v>36</v>
      </c>
      <c r="O95" s="312" t="s">
        <v>265</v>
      </c>
      <c r="P95" s="131" t="s">
        <v>30</v>
      </c>
      <c r="Q95" s="42" t="s">
        <v>31</v>
      </c>
      <c r="R95" s="124">
        <f>VLOOKUP(Q95,References!$B$7:$F$252,5,FALSE)</f>
        <v>36</v>
      </c>
      <c r="S95" s="3"/>
      <c r="T95" s="11"/>
      <c r="U95" s="11"/>
      <c r="V95" s="11"/>
      <c r="W95" s="11"/>
      <c r="X95" s="11"/>
      <c r="Y95" s="11"/>
      <c r="Z95" s="11"/>
    </row>
    <row r="96" spans="1:26" ht="17" x14ac:dyDescent="0.25">
      <c r="A96" s="166" t="s">
        <v>266</v>
      </c>
      <c r="B96" s="145" t="s">
        <v>267</v>
      </c>
      <c r="C96" s="145">
        <v>528.20000000000005</v>
      </c>
      <c r="D96" s="58" t="s">
        <v>1602</v>
      </c>
      <c r="E96" s="58" t="s">
        <v>268</v>
      </c>
      <c r="F96" s="307" t="s">
        <v>269</v>
      </c>
      <c r="G96" s="58" t="s">
        <v>30</v>
      </c>
      <c r="H96" s="58" t="s">
        <v>33</v>
      </c>
      <c r="I96" s="30" t="s">
        <v>31</v>
      </c>
      <c r="J96" s="55">
        <f>VLOOKUP(I96,References!$B$7:$F$252,5,FALSE)</f>
        <v>36</v>
      </c>
      <c r="K96" s="58" t="s">
        <v>270</v>
      </c>
      <c r="L96" s="58" t="s">
        <v>30</v>
      </c>
      <c r="M96" s="30" t="s">
        <v>31</v>
      </c>
      <c r="N96" s="58">
        <f>VLOOKUP(M96,References!$B$7:$F$252,5,FALSE)</f>
        <v>36</v>
      </c>
      <c r="O96" s="307" t="s">
        <v>271</v>
      </c>
      <c r="P96" s="58" t="s">
        <v>30</v>
      </c>
      <c r="Q96" s="30" t="s">
        <v>31</v>
      </c>
      <c r="R96" s="100">
        <f>VLOOKUP(Q96,References!$B$7:$F$252,5,FALSE)</f>
        <v>36</v>
      </c>
      <c r="S96" s="3"/>
      <c r="T96" s="11"/>
      <c r="U96" s="11"/>
      <c r="V96" s="11"/>
      <c r="W96" s="11"/>
      <c r="X96" s="11"/>
      <c r="Y96" s="11"/>
      <c r="Z96" s="11"/>
    </row>
    <row r="97" spans="1:26" ht="18" thickBot="1" x14ac:dyDescent="0.3">
      <c r="A97" s="168" t="s">
        <v>272</v>
      </c>
      <c r="B97" s="299" t="s">
        <v>273</v>
      </c>
      <c r="C97" s="299">
        <v>628.20000000000005</v>
      </c>
      <c r="D97" s="169" t="s">
        <v>274</v>
      </c>
      <c r="E97" s="169" t="s">
        <v>275</v>
      </c>
      <c r="F97" s="313">
        <v>1.75</v>
      </c>
      <c r="G97" s="169" t="s">
        <v>30</v>
      </c>
      <c r="H97" s="169" t="s">
        <v>33</v>
      </c>
      <c r="I97" s="203" t="s">
        <v>31</v>
      </c>
      <c r="J97" s="228">
        <f>VLOOKUP(I97,References!$B$7:$F$252,5,FALSE)</f>
        <v>36</v>
      </c>
      <c r="K97" s="169">
        <v>173</v>
      </c>
      <c r="L97" s="169" t="s">
        <v>30</v>
      </c>
      <c r="M97" s="203" t="s">
        <v>31</v>
      </c>
      <c r="N97" s="169">
        <f>VLOOKUP(M97,References!$B$7:$F$252,5,FALSE)</f>
        <v>36</v>
      </c>
      <c r="O97" s="313">
        <v>220</v>
      </c>
      <c r="P97" s="169" t="s">
        <v>30</v>
      </c>
      <c r="Q97" s="203" t="s">
        <v>31</v>
      </c>
      <c r="R97" s="213">
        <f>VLOOKUP(Q97,References!$B$7:$F$252,5,FALSE)</f>
        <v>36</v>
      </c>
      <c r="S97" s="3"/>
      <c r="T97" s="11"/>
      <c r="U97" s="11"/>
      <c r="V97" s="11"/>
      <c r="W97" s="11"/>
      <c r="X97" s="11"/>
      <c r="Y97" s="11"/>
      <c r="Z97" s="11"/>
    </row>
    <row r="98" spans="1:26" ht="16" thickBot="1" x14ac:dyDescent="0.25">
      <c r="A98" s="237" t="s">
        <v>276</v>
      </c>
      <c r="B98" s="129" t="s">
        <v>277</v>
      </c>
      <c r="C98" s="82"/>
      <c r="D98" s="79"/>
      <c r="E98" s="79"/>
      <c r="F98" s="79"/>
      <c r="G98" s="79"/>
      <c r="H98" s="79"/>
      <c r="I98" s="128"/>
      <c r="J98" s="79"/>
      <c r="K98" s="79"/>
      <c r="L98" s="79"/>
      <c r="M98" s="128"/>
      <c r="N98" s="79"/>
      <c r="O98" s="79"/>
      <c r="P98" s="79"/>
      <c r="Q98" s="128"/>
      <c r="R98" s="80"/>
      <c r="S98" s="3"/>
      <c r="T98" s="11"/>
      <c r="U98" s="11"/>
      <c r="V98" s="11"/>
      <c r="W98" s="11"/>
      <c r="X98" s="11"/>
      <c r="Y98" s="11"/>
      <c r="Z98" s="11"/>
    </row>
    <row r="99" spans="1:26" ht="18" customHeight="1" x14ac:dyDescent="0.2">
      <c r="A99" s="829" t="s">
        <v>278</v>
      </c>
      <c r="B99" s="831" t="s">
        <v>279</v>
      </c>
      <c r="C99" s="831">
        <v>299.10000000000002</v>
      </c>
      <c r="D99" s="831" t="s">
        <v>1603</v>
      </c>
      <c r="E99" s="848" t="s">
        <v>280</v>
      </c>
      <c r="F99" s="305">
        <v>1.68</v>
      </c>
      <c r="G99" s="135" t="s">
        <v>27</v>
      </c>
      <c r="H99" s="135" t="s">
        <v>33</v>
      </c>
      <c r="I99" s="201" t="s">
        <v>47</v>
      </c>
      <c r="J99" s="226">
        <f>VLOOKUP(I99,References!$B$7:$F$252,5,FALSE)</f>
        <v>3</v>
      </c>
      <c r="K99" s="305" t="s">
        <v>281</v>
      </c>
      <c r="L99" s="135" t="s">
        <v>27</v>
      </c>
      <c r="M99" s="201" t="s">
        <v>47</v>
      </c>
      <c r="N99" s="226">
        <f>VLOOKUP(M99,References!$B$7:$F$252,5,FALSE)</f>
        <v>3</v>
      </c>
      <c r="O99" s="305" t="s">
        <v>282</v>
      </c>
      <c r="P99" s="135" t="s">
        <v>30</v>
      </c>
      <c r="Q99" s="201" t="s">
        <v>31</v>
      </c>
      <c r="R99" s="99">
        <f>VLOOKUP(Q99,References!$B$7:$F$252,5,FALSE)</f>
        <v>36</v>
      </c>
      <c r="S99" s="3"/>
      <c r="T99" s="11"/>
      <c r="U99" s="11"/>
      <c r="V99" s="11"/>
      <c r="W99" s="11"/>
      <c r="X99" s="11"/>
      <c r="Y99" s="11"/>
      <c r="Z99" s="11"/>
    </row>
    <row r="100" spans="1:26" x14ac:dyDescent="0.2">
      <c r="A100" s="847"/>
      <c r="B100" s="834"/>
      <c r="C100" s="834"/>
      <c r="D100" s="834"/>
      <c r="E100" s="837"/>
      <c r="F100" s="267">
        <v>1.77</v>
      </c>
      <c r="G100" s="59" t="s">
        <v>30</v>
      </c>
      <c r="H100" s="59" t="s">
        <v>33</v>
      </c>
      <c r="I100" s="37" t="s">
        <v>31</v>
      </c>
      <c r="J100" s="56">
        <f>VLOOKUP(I100,References!$B$7:$F$252,5,FALSE)</f>
        <v>36</v>
      </c>
      <c r="K100" s="267">
        <v>96.1</v>
      </c>
      <c r="L100" s="59" t="s">
        <v>30</v>
      </c>
      <c r="M100" s="37" t="s">
        <v>31</v>
      </c>
      <c r="N100" s="56">
        <f>VLOOKUP(M100,References!$B$7:$F$252,5,FALSE)</f>
        <v>36</v>
      </c>
      <c r="O100" s="267"/>
      <c r="P100" s="59"/>
      <c r="Q100" s="37"/>
      <c r="R100" s="122"/>
      <c r="S100" s="3"/>
      <c r="T100" s="11"/>
      <c r="U100" s="11"/>
      <c r="V100" s="11"/>
      <c r="W100" s="11"/>
      <c r="X100" s="11"/>
      <c r="Y100" s="11"/>
      <c r="Z100" s="11"/>
    </row>
    <row r="101" spans="1:26" ht="18" customHeight="1" x14ac:dyDescent="0.2">
      <c r="A101" s="830" t="s">
        <v>283</v>
      </c>
      <c r="B101" s="832" t="s">
        <v>284</v>
      </c>
      <c r="C101" s="832">
        <v>399.1</v>
      </c>
      <c r="D101" s="833" t="s">
        <v>1604</v>
      </c>
      <c r="E101" s="836" t="s">
        <v>285</v>
      </c>
      <c r="F101" s="308" t="s">
        <v>286</v>
      </c>
      <c r="G101" s="57" t="s">
        <v>30</v>
      </c>
      <c r="H101" s="57" t="s">
        <v>33</v>
      </c>
      <c r="I101" s="41" t="s">
        <v>31</v>
      </c>
      <c r="J101" s="54">
        <f>VLOOKUP(I101,References!$B$7:$F$252,5,FALSE)</f>
        <v>36</v>
      </c>
      <c r="K101" s="308" t="s">
        <v>287</v>
      </c>
      <c r="L101" s="57" t="s">
        <v>27</v>
      </c>
      <c r="M101" s="41" t="s">
        <v>47</v>
      </c>
      <c r="N101" s="54">
        <f>VLOOKUP(M101,References!$B$7:$F$252,5,FALSE)</f>
        <v>3</v>
      </c>
      <c r="O101" s="308" t="s">
        <v>288</v>
      </c>
      <c r="P101" s="57" t="s">
        <v>30</v>
      </c>
      <c r="Q101" s="41" t="s">
        <v>31</v>
      </c>
      <c r="R101" s="121">
        <f>VLOOKUP(Q101,References!$B$7:$F$252,5,FALSE)</f>
        <v>36</v>
      </c>
      <c r="S101" s="3"/>
      <c r="T101" s="11"/>
      <c r="U101" s="11"/>
      <c r="V101" s="11"/>
      <c r="W101" s="11"/>
      <c r="X101" s="11"/>
      <c r="Y101" s="11"/>
      <c r="Z101" s="11"/>
    </row>
    <row r="102" spans="1:26" x14ac:dyDescent="0.2">
      <c r="A102" s="847"/>
      <c r="B102" s="834"/>
      <c r="C102" s="834"/>
      <c r="D102" s="834"/>
      <c r="E102" s="837"/>
      <c r="F102" s="267"/>
      <c r="G102" s="59"/>
      <c r="H102" s="59"/>
      <c r="I102" s="37"/>
      <c r="J102" s="56"/>
      <c r="K102" s="267" t="s">
        <v>289</v>
      </c>
      <c r="L102" s="59" t="s">
        <v>30</v>
      </c>
      <c r="M102" s="37" t="s">
        <v>31</v>
      </c>
      <c r="N102" s="56">
        <f>VLOOKUP(M102,References!$B$7:$F$252,5,FALSE)</f>
        <v>36</v>
      </c>
      <c r="O102" s="267"/>
      <c r="P102" s="59"/>
      <c r="Q102" s="37"/>
      <c r="R102" s="122"/>
      <c r="S102" s="3"/>
      <c r="T102" s="11"/>
      <c r="U102" s="11"/>
      <c r="V102" s="11"/>
      <c r="W102" s="11"/>
      <c r="X102" s="11"/>
      <c r="Y102" s="11"/>
      <c r="Z102" s="11"/>
    </row>
    <row r="103" spans="1:26" x14ac:dyDescent="0.2">
      <c r="A103" s="838" t="s">
        <v>290</v>
      </c>
      <c r="B103" s="832" t="s">
        <v>291</v>
      </c>
      <c r="C103" s="832">
        <v>499.1</v>
      </c>
      <c r="D103" s="833" t="s">
        <v>292</v>
      </c>
      <c r="E103" s="832" t="s">
        <v>293</v>
      </c>
      <c r="F103" s="307" t="s">
        <v>294</v>
      </c>
      <c r="G103" s="58" t="s">
        <v>30</v>
      </c>
      <c r="H103" s="58" t="s">
        <v>33</v>
      </c>
      <c r="I103" s="30" t="s">
        <v>31</v>
      </c>
      <c r="J103" s="58">
        <f>VLOOKUP(I103,References!$B$7:$F$252,5,FALSE)</f>
        <v>36</v>
      </c>
      <c r="K103" s="307" t="s">
        <v>295</v>
      </c>
      <c r="L103" s="58" t="s">
        <v>27</v>
      </c>
      <c r="M103" s="30" t="s">
        <v>47</v>
      </c>
      <c r="N103" s="55">
        <f>VLOOKUP(M103,References!$B$7:$F$252,5,FALSE)</f>
        <v>3</v>
      </c>
      <c r="O103" s="58" t="s">
        <v>296</v>
      </c>
      <c r="P103" s="58" t="s">
        <v>30</v>
      </c>
      <c r="Q103" s="30" t="s">
        <v>31</v>
      </c>
      <c r="R103" s="100">
        <f>VLOOKUP(Q103,References!$B$7:$F$252,5,FALSE)</f>
        <v>36</v>
      </c>
      <c r="S103" s="3"/>
      <c r="T103" s="11"/>
      <c r="U103" s="11"/>
      <c r="V103" s="11"/>
      <c r="W103" s="11"/>
      <c r="X103" s="11"/>
      <c r="Y103" s="11"/>
      <c r="Z103" s="11"/>
    </row>
    <row r="104" spans="1:26" x14ac:dyDescent="0.2">
      <c r="A104" s="838"/>
      <c r="B104" s="832"/>
      <c r="C104" s="832"/>
      <c r="D104" s="832"/>
      <c r="E104" s="832"/>
      <c r="F104" s="307"/>
      <c r="G104" s="58"/>
      <c r="H104" s="58"/>
      <c r="I104" s="30"/>
      <c r="J104" s="58"/>
      <c r="K104" s="307">
        <v>155</v>
      </c>
      <c r="L104" s="58" t="s">
        <v>27</v>
      </c>
      <c r="M104" s="30" t="s">
        <v>31</v>
      </c>
      <c r="N104" s="55">
        <f>VLOOKUP(M104,References!$B$7:$F$252,5,FALSE)</f>
        <v>36</v>
      </c>
      <c r="O104" s="58"/>
      <c r="P104" s="58"/>
      <c r="Q104" s="30"/>
      <c r="R104" s="100"/>
      <c r="S104" s="3"/>
      <c r="T104" s="11"/>
      <c r="U104" s="11"/>
      <c r="V104" s="11"/>
      <c r="W104" s="11"/>
      <c r="X104" s="11"/>
      <c r="Y104" s="11"/>
      <c r="Z104" s="11"/>
    </row>
    <row r="105" spans="1:26" x14ac:dyDescent="0.2">
      <c r="A105" s="838"/>
      <c r="B105" s="832"/>
      <c r="C105" s="832"/>
      <c r="D105" s="834"/>
      <c r="E105" s="832"/>
      <c r="F105" s="307"/>
      <c r="G105" s="58"/>
      <c r="H105" s="58"/>
      <c r="I105" s="39"/>
      <c r="J105" s="58"/>
      <c r="K105" s="307" t="s">
        <v>297</v>
      </c>
      <c r="L105" s="58" t="s">
        <v>30</v>
      </c>
      <c r="M105" s="30" t="s">
        <v>31</v>
      </c>
      <c r="N105" s="55">
        <f>VLOOKUP(M105,References!$B$7:$F$252,5,FALSE)</f>
        <v>36</v>
      </c>
      <c r="O105" s="58"/>
      <c r="P105" s="58"/>
      <c r="Q105" s="39"/>
      <c r="R105" s="314"/>
      <c r="S105" s="3"/>
      <c r="T105" s="11"/>
      <c r="U105" s="11"/>
      <c r="V105" s="11"/>
      <c r="W105" s="11"/>
      <c r="X105" s="11"/>
      <c r="Y105" s="11"/>
      <c r="Z105" s="11"/>
    </row>
    <row r="106" spans="1:26" ht="18" customHeight="1" x14ac:dyDescent="0.2">
      <c r="A106" s="839" t="s">
        <v>298</v>
      </c>
      <c r="B106" s="833" t="s">
        <v>299</v>
      </c>
      <c r="C106" s="833">
        <v>513.20000000000005</v>
      </c>
      <c r="D106" s="833" t="s">
        <v>300</v>
      </c>
      <c r="E106" s="835" t="s">
        <v>301</v>
      </c>
      <c r="F106" s="308" t="s">
        <v>302</v>
      </c>
      <c r="G106" s="57" t="s">
        <v>30</v>
      </c>
      <c r="H106" s="57" t="s">
        <v>33</v>
      </c>
      <c r="I106" s="41" t="s">
        <v>31</v>
      </c>
      <c r="J106" s="57">
        <f>VLOOKUP(I106,References!$B$7:$F$252,5,FALSE)</f>
        <v>36</v>
      </c>
      <c r="K106" s="308" t="s">
        <v>303</v>
      </c>
      <c r="L106" s="57" t="s">
        <v>30</v>
      </c>
      <c r="M106" s="41" t="s">
        <v>31</v>
      </c>
      <c r="N106" s="57">
        <f>VLOOKUP(M106,References!$B$7:$F$252,5,FALSE)</f>
        <v>36</v>
      </c>
      <c r="O106" s="308" t="s">
        <v>304</v>
      </c>
      <c r="P106" s="57" t="s">
        <v>30</v>
      </c>
      <c r="Q106" s="41" t="s">
        <v>31</v>
      </c>
      <c r="R106" s="121">
        <f>VLOOKUP(Q106,References!$B$7:$F$252,5,FALSE)</f>
        <v>36</v>
      </c>
      <c r="S106" s="3"/>
      <c r="T106" s="11"/>
      <c r="U106" s="11"/>
      <c r="V106" s="11"/>
      <c r="W106" s="11"/>
      <c r="X106" s="11"/>
      <c r="Y106" s="11"/>
      <c r="Z106" s="11"/>
    </row>
    <row r="107" spans="1:26" x14ac:dyDescent="0.2">
      <c r="A107" s="840"/>
      <c r="B107" s="834"/>
      <c r="C107" s="834"/>
      <c r="D107" s="834"/>
      <c r="E107" s="837"/>
      <c r="F107" s="267">
        <v>1.3</v>
      </c>
      <c r="G107" s="59" t="s">
        <v>27</v>
      </c>
      <c r="H107" s="59" t="s">
        <v>33</v>
      </c>
      <c r="I107" s="37" t="s">
        <v>47</v>
      </c>
      <c r="J107" s="59">
        <f>VLOOKUP(I107,References!$B$7:$F$252,5,FALSE)</f>
        <v>3</v>
      </c>
      <c r="K107" s="267"/>
      <c r="L107" s="59"/>
      <c r="M107" s="37"/>
      <c r="N107" s="59"/>
      <c r="O107" s="307"/>
      <c r="P107" s="58"/>
      <c r="Q107" s="30"/>
      <c r="R107" s="100"/>
      <c r="S107" s="3"/>
      <c r="T107" s="11"/>
      <c r="U107" s="11"/>
      <c r="V107" s="11"/>
      <c r="W107" s="11"/>
      <c r="X107" s="11"/>
      <c r="Y107" s="11"/>
      <c r="Z107" s="11"/>
    </row>
    <row r="108" spans="1:26" x14ac:dyDescent="0.2">
      <c r="A108" s="839" t="s">
        <v>305</v>
      </c>
      <c r="B108" s="833" t="s">
        <v>306</v>
      </c>
      <c r="C108" s="833">
        <v>527.20000000000005</v>
      </c>
      <c r="D108" s="833" t="s">
        <v>307</v>
      </c>
      <c r="E108" s="835" t="s">
        <v>308</v>
      </c>
      <c r="F108" s="307" t="s">
        <v>309</v>
      </c>
      <c r="G108" s="58" t="s">
        <v>30</v>
      </c>
      <c r="H108" s="58" t="s">
        <v>33</v>
      </c>
      <c r="I108" s="30" t="s">
        <v>31</v>
      </c>
      <c r="J108" s="55">
        <f>VLOOKUP(I108,References!$B$7:$F$252,5,FALSE)</f>
        <v>36</v>
      </c>
      <c r="K108" s="58">
        <v>90</v>
      </c>
      <c r="L108" s="58" t="s">
        <v>27</v>
      </c>
      <c r="M108" s="30" t="s">
        <v>310</v>
      </c>
      <c r="N108" s="58">
        <f>VLOOKUP(M108,References!$B$7:$F$252,5,FALSE)</f>
        <v>1</v>
      </c>
      <c r="O108" s="308">
        <v>196</v>
      </c>
      <c r="P108" s="57" t="s">
        <v>27</v>
      </c>
      <c r="Q108" s="41" t="s">
        <v>47</v>
      </c>
      <c r="R108" s="121">
        <f>VLOOKUP(Q108,References!$B$7:$F$252,5,FALSE)</f>
        <v>3</v>
      </c>
      <c r="S108" s="3"/>
      <c r="T108" s="11"/>
      <c r="U108" s="11"/>
      <c r="V108" s="11"/>
      <c r="W108" s="11"/>
      <c r="X108" s="11"/>
      <c r="Y108" s="11"/>
      <c r="Z108" s="11"/>
    </row>
    <row r="109" spans="1:26" x14ac:dyDescent="0.2">
      <c r="A109" s="838"/>
      <c r="B109" s="832"/>
      <c r="C109" s="832"/>
      <c r="D109" s="832"/>
      <c r="E109" s="836"/>
      <c r="F109" s="307"/>
      <c r="G109" s="58"/>
      <c r="H109" s="58"/>
      <c r="I109" s="30"/>
      <c r="J109" s="55"/>
      <c r="K109" s="58">
        <v>96</v>
      </c>
      <c r="L109" s="58" t="s">
        <v>27</v>
      </c>
      <c r="M109" s="30" t="s">
        <v>47</v>
      </c>
      <c r="N109" s="58">
        <f>VLOOKUP(M109,References!$B$7:$F$252,5,FALSE)</f>
        <v>3</v>
      </c>
      <c r="O109" s="307">
        <v>110</v>
      </c>
      <c r="P109" s="58" t="s">
        <v>27</v>
      </c>
      <c r="Q109" s="30" t="s">
        <v>310</v>
      </c>
      <c r="R109" s="100">
        <f>VLOOKUP(Q109,References!$B$7:$F$252,5,FALSE)</f>
        <v>1</v>
      </c>
      <c r="S109" s="3"/>
      <c r="T109" s="11"/>
      <c r="U109" s="11"/>
      <c r="V109" s="11"/>
      <c r="W109" s="11"/>
      <c r="X109" s="11"/>
      <c r="Y109" s="11"/>
      <c r="Z109" s="11"/>
    </row>
    <row r="110" spans="1:26" x14ac:dyDescent="0.2">
      <c r="A110" s="838"/>
      <c r="B110" s="832"/>
      <c r="C110" s="832"/>
      <c r="D110" s="832"/>
      <c r="E110" s="836"/>
      <c r="F110" s="307"/>
      <c r="G110" s="58"/>
      <c r="H110" s="58"/>
      <c r="I110" s="30"/>
      <c r="J110" s="55"/>
      <c r="K110" s="58" t="s">
        <v>311</v>
      </c>
      <c r="L110" s="58" t="s">
        <v>27</v>
      </c>
      <c r="M110" s="30" t="s">
        <v>31</v>
      </c>
      <c r="N110" s="58">
        <f>VLOOKUP(M110,References!$B$7:$F$252,5,FALSE)</f>
        <v>36</v>
      </c>
      <c r="O110" s="307" t="s">
        <v>312</v>
      </c>
      <c r="P110" s="58" t="s">
        <v>27</v>
      </c>
      <c r="Q110" s="30" t="s">
        <v>31</v>
      </c>
      <c r="R110" s="100">
        <f>VLOOKUP(Q110,References!$B$7:$F$252,5,FALSE)</f>
        <v>36</v>
      </c>
      <c r="S110" s="3"/>
      <c r="T110" s="11"/>
      <c r="U110" s="11"/>
      <c r="V110" s="11"/>
      <c r="W110" s="11"/>
      <c r="X110" s="11"/>
      <c r="Y110" s="11"/>
      <c r="Z110" s="11"/>
    </row>
    <row r="111" spans="1:26" x14ac:dyDescent="0.2">
      <c r="A111" s="840"/>
      <c r="B111" s="834"/>
      <c r="C111" s="834"/>
      <c r="D111" s="834"/>
      <c r="E111" s="837"/>
      <c r="F111" s="267"/>
      <c r="G111" s="59"/>
      <c r="H111" s="59"/>
      <c r="I111" s="40"/>
      <c r="J111" s="56"/>
      <c r="K111" s="59" t="s">
        <v>313</v>
      </c>
      <c r="L111" s="59" t="s">
        <v>30</v>
      </c>
      <c r="M111" s="37" t="s">
        <v>31</v>
      </c>
      <c r="N111" s="59">
        <f>VLOOKUP(M111,References!$B$7:$F$252,5,FALSE)</f>
        <v>36</v>
      </c>
      <c r="O111" s="267" t="s">
        <v>314</v>
      </c>
      <c r="P111" s="59" t="s">
        <v>30</v>
      </c>
      <c r="Q111" s="37" t="s">
        <v>31</v>
      </c>
      <c r="R111" s="122">
        <f>VLOOKUP(Q111,References!$B$7:$F$252,5,FALSE)</f>
        <v>36</v>
      </c>
      <c r="S111" s="3"/>
      <c r="T111" s="11"/>
      <c r="U111" s="11"/>
      <c r="V111" s="11"/>
      <c r="W111" s="11"/>
      <c r="X111" s="11"/>
      <c r="Y111" s="11"/>
      <c r="Z111" s="11"/>
    </row>
    <row r="112" spans="1:26" ht="48" x14ac:dyDescent="0.2">
      <c r="A112" s="157" t="s">
        <v>315</v>
      </c>
      <c r="B112" s="152" t="s">
        <v>316</v>
      </c>
      <c r="C112" s="153">
        <v>651.23</v>
      </c>
      <c r="D112" s="153" t="s">
        <v>1605</v>
      </c>
      <c r="E112" s="153" t="s">
        <v>317</v>
      </c>
      <c r="F112" s="477" t="s">
        <v>318</v>
      </c>
      <c r="G112" s="153" t="s">
        <v>30</v>
      </c>
      <c r="H112" s="153" t="s">
        <v>33</v>
      </c>
      <c r="I112" s="478" t="s">
        <v>31</v>
      </c>
      <c r="J112" s="479">
        <f>VLOOKUP(I112,References!$B$7:$F$252,5,FALSE)</f>
        <v>36</v>
      </c>
      <c r="K112" s="153" t="s">
        <v>319</v>
      </c>
      <c r="L112" s="153" t="s">
        <v>30</v>
      </c>
      <c r="M112" s="478" t="s">
        <v>31</v>
      </c>
      <c r="N112" s="479">
        <f>VLOOKUP(M112,References!$B$7:$F$252,5,FALSE)</f>
        <v>36</v>
      </c>
      <c r="O112" s="477" t="s">
        <v>320</v>
      </c>
      <c r="P112" s="153" t="s">
        <v>30</v>
      </c>
      <c r="Q112" s="478" t="s">
        <v>31</v>
      </c>
      <c r="R112" s="235">
        <f>VLOOKUP(Q112,References!$B$7:$F$252,5,FALSE)</f>
        <v>36</v>
      </c>
      <c r="S112" s="3"/>
      <c r="T112" s="11"/>
      <c r="U112" s="11"/>
      <c r="V112" s="11"/>
      <c r="W112" s="11"/>
      <c r="X112" s="11"/>
      <c r="Y112" s="11"/>
      <c r="Z112" s="11"/>
    </row>
    <row r="113" spans="1:26" ht="49" thickBot="1" x14ac:dyDescent="0.25">
      <c r="A113" s="187" t="s">
        <v>321</v>
      </c>
      <c r="B113" s="188" t="s">
        <v>322</v>
      </c>
      <c r="C113" s="146">
        <v>1204.46</v>
      </c>
      <c r="D113" s="145" t="s">
        <v>1606</v>
      </c>
      <c r="E113" s="146" t="s">
        <v>323</v>
      </c>
      <c r="F113" s="321">
        <v>1.72</v>
      </c>
      <c r="G113" s="146" t="s">
        <v>30</v>
      </c>
      <c r="H113" s="146" t="s">
        <v>33</v>
      </c>
      <c r="I113" s="272" t="s">
        <v>31</v>
      </c>
      <c r="J113" s="474">
        <f>VLOOKUP(I113,References!$B$7:$F$252,5,FALSE)</f>
        <v>36</v>
      </c>
      <c r="K113" s="321" t="s">
        <v>324</v>
      </c>
      <c r="L113" s="146" t="s">
        <v>30</v>
      </c>
      <c r="M113" s="272" t="s">
        <v>31</v>
      </c>
      <c r="N113" s="474">
        <f>VLOOKUP(M113,References!$B$7:$F$252,5,FALSE)</f>
        <v>36</v>
      </c>
      <c r="O113" s="321" t="s">
        <v>325</v>
      </c>
      <c r="P113" s="146" t="s">
        <v>30</v>
      </c>
      <c r="Q113" s="480" t="s">
        <v>31</v>
      </c>
      <c r="R113" s="481">
        <f>VLOOKUP(Q113,References!$B$7:$F$252,5,FALSE)</f>
        <v>36</v>
      </c>
      <c r="S113" s="3"/>
      <c r="T113" s="11"/>
      <c r="U113" s="11"/>
      <c r="V113" s="11"/>
      <c r="W113" s="11"/>
      <c r="X113" s="11"/>
      <c r="Y113" s="11"/>
      <c r="Z113" s="11"/>
    </row>
    <row r="114" spans="1:26" ht="16" thickBot="1" x14ac:dyDescent="0.25">
      <c r="A114" s="237" t="s">
        <v>326</v>
      </c>
      <c r="B114" s="129" t="s">
        <v>327</v>
      </c>
      <c r="C114" s="82"/>
      <c r="D114" s="79"/>
      <c r="E114" s="79"/>
      <c r="F114" s="79"/>
      <c r="G114" s="79"/>
      <c r="H114" s="79"/>
      <c r="I114" s="128"/>
      <c r="J114" s="79"/>
      <c r="K114" s="79"/>
      <c r="L114" s="79"/>
      <c r="M114" s="128"/>
      <c r="N114" s="79"/>
      <c r="O114" s="79"/>
      <c r="P114" s="79"/>
      <c r="Q114" s="128"/>
      <c r="R114" s="80"/>
      <c r="S114" s="3"/>
      <c r="T114" s="11"/>
      <c r="U114" s="11"/>
      <c r="V114" s="11"/>
      <c r="W114" s="11"/>
      <c r="X114" s="11"/>
      <c r="Y114" s="11"/>
      <c r="Z114" s="11"/>
    </row>
    <row r="115" spans="1:26" ht="17" x14ac:dyDescent="0.25">
      <c r="A115" s="595" t="s">
        <v>328</v>
      </c>
      <c r="B115" s="296" t="s">
        <v>329</v>
      </c>
      <c r="C115" s="466">
        <v>343.2</v>
      </c>
      <c r="D115" s="296" t="s">
        <v>1607</v>
      </c>
      <c r="E115" s="749" t="s">
        <v>330</v>
      </c>
      <c r="F115" s="296">
        <v>1.68</v>
      </c>
      <c r="G115" s="296" t="s">
        <v>30</v>
      </c>
      <c r="H115" s="296" t="s">
        <v>33</v>
      </c>
      <c r="I115" s="297" t="s">
        <v>31</v>
      </c>
      <c r="J115" s="749">
        <f>VLOOKUP(I115,References!$B$7:$F$252,5,FALSE)</f>
        <v>36</v>
      </c>
      <c r="K115" s="296">
        <v>91</v>
      </c>
      <c r="L115" s="296" t="s">
        <v>30</v>
      </c>
      <c r="M115" s="297" t="s">
        <v>31</v>
      </c>
      <c r="N115" s="749">
        <f>VLOOKUP(M115,References!$B$7:$F$252,5,FALSE)</f>
        <v>36</v>
      </c>
      <c r="O115" s="296" t="s">
        <v>331</v>
      </c>
      <c r="P115" s="296" t="s">
        <v>30</v>
      </c>
      <c r="Q115" s="297" t="s">
        <v>31</v>
      </c>
      <c r="R115" s="749">
        <f>VLOOKUP(Q115,References!$B$7:$F$252,5,FALSE)</f>
        <v>36</v>
      </c>
      <c r="S115" s="3"/>
      <c r="T115" s="11"/>
      <c r="U115" s="11"/>
      <c r="V115" s="11"/>
      <c r="W115" s="11"/>
      <c r="X115" s="11"/>
      <c r="Y115" s="11"/>
      <c r="Z115" s="11"/>
    </row>
    <row r="116" spans="1:26" ht="17" x14ac:dyDescent="0.25">
      <c r="A116" s="136" t="s">
        <v>332</v>
      </c>
      <c r="B116" s="58" t="s">
        <v>333</v>
      </c>
      <c r="C116" s="145">
        <v>543.20000000000005</v>
      </c>
      <c r="D116" s="58" t="s">
        <v>334</v>
      </c>
      <c r="E116" s="58" t="s">
        <v>335</v>
      </c>
      <c r="F116" s="307">
        <v>1.73</v>
      </c>
      <c r="G116" s="58" t="s">
        <v>30</v>
      </c>
      <c r="H116" s="58" t="s">
        <v>33</v>
      </c>
      <c r="I116" s="30" t="s">
        <v>31</v>
      </c>
      <c r="J116" s="55">
        <f>VLOOKUP(I116,References!$B$7:$F$252,5,FALSE)</f>
        <v>36</v>
      </c>
      <c r="K116" s="58">
        <v>91.1</v>
      </c>
      <c r="L116" s="58" t="s">
        <v>30</v>
      </c>
      <c r="M116" s="30" t="s">
        <v>31</v>
      </c>
      <c r="N116" s="58">
        <f>VLOOKUP(M116,References!$B$7:$F$252,5,FALSE)</f>
        <v>36</v>
      </c>
      <c r="O116" s="307" t="s">
        <v>336</v>
      </c>
      <c r="P116" s="58" t="s">
        <v>30</v>
      </c>
      <c r="Q116" s="30" t="s">
        <v>31</v>
      </c>
      <c r="R116" s="100">
        <f>VLOOKUP(Q116,References!$B$7:$F$252,5,FALSE)</f>
        <v>36</v>
      </c>
      <c r="S116" s="3"/>
      <c r="T116" s="11"/>
      <c r="U116" s="11"/>
      <c r="V116" s="11"/>
      <c r="W116" s="11"/>
      <c r="X116" s="11"/>
      <c r="Y116" s="11"/>
      <c r="Z116" s="11"/>
    </row>
    <row r="117" spans="1:26" ht="18" customHeight="1" x14ac:dyDescent="0.2">
      <c r="A117" s="849" t="s">
        <v>337</v>
      </c>
      <c r="B117" s="833" t="s">
        <v>338</v>
      </c>
      <c r="C117" s="833">
        <v>557.20000000000005</v>
      </c>
      <c r="D117" s="833" t="s">
        <v>339</v>
      </c>
      <c r="E117" s="833" t="s">
        <v>340</v>
      </c>
      <c r="F117" s="308" t="s">
        <v>341</v>
      </c>
      <c r="G117" s="57" t="s">
        <v>30</v>
      </c>
      <c r="H117" s="57" t="s">
        <v>33</v>
      </c>
      <c r="I117" s="41" t="s">
        <v>31</v>
      </c>
      <c r="J117" s="54">
        <f>VLOOKUP(I117,References!$B$7:$F$252,5,FALSE)</f>
        <v>36</v>
      </c>
      <c r="K117" s="57" t="s">
        <v>342</v>
      </c>
      <c r="L117" s="57" t="s">
        <v>27</v>
      </c>
      <c r="M117" s="41" t="s">
        <v>310</v>
      </c>
      <c r="N117" s="57">
        <f>VLOOKUP(M117,References!$B$7:$F$252,5,FALSE)</f>
        <v>1</v>
      </c>
      <c r="O117" s="308" t="s">
        <v>343</v>
      </c>
      <c r="P117" s="57" t="s">
        <v>30</v>
      </c>
      <c r="Q117" s="41" t="s">
        <v>31</v>
      </c>
      <c r="R117" s="121">
        <f>VLOOKUP(Q117,References!$B$7:$F$252,5,FALSE)</f>
        <v>36</v>
      </c>
      <c r="S117" s="3"/>
      <c r="T117" s="11"/>
      <c r="U117" s="11"/>
      <c r="V117" s="11"/>
      <c r="W117" s="11"/>
      <c r="X117" s="11"/>
      <c r="Y117" s="11"/>
      <c r="Z117" s="11"/>
    </row>
    <row r="118" spans="1:26" x14ac:dyDescent="0.2">
      <c r="A118" s="830"/>
      <c r="B118" s="832"/>
      <c r="C118" s="832"/>
      <c r="D118" s="832"/>
      <c r="E118" s="832"/>
      <c r="F118" s="307"/>
      <c r="G118" s="58"/>
      <c r="H118" s="58"/>
      <c r="I118" s="30"/>
      <c r="J118" s="55"/>
      <c r="K118" s="58">
        <v>83</v>
      </c>
      <c r="L118" s="58" t="s">
        <v>27</v>
      </c>
      <c r="M118" s="30" t="s">
        <v>31</v>
      </c>
      <c r="N118" s="58">
        <f>VLOOKUP(M118,References!$B$7:$F$252,5,FALSE)</f>
        <v>36</v>
      </c>
      <c r="O118" s="307">
        <v>150</v>
      </c>
      <c r="P118" s="58" t="s">
        <v>27</v>
      </c>
      <c r="Q118" s="30" t="s">
        <v>31</v>
      </c>
      <c r="R118" s="100">
        <f>VLOOKUP(Q118,References!$B$7:$F$252,5,FALSE)</f>
        <v>36</v>
      </c>
      <c r="S118" s="3"/>
      <c r="T118" s="11"/>
      <c r="U118" s="11"/>
      <c r="V118" s="11"/>
      <c r="W118" s="11"/>
      <c r="X118" s="11"/>
      <c r="Y118" s="11"/>
      <c r="Z118" s="11"/>
    </row>
    <row r="119" spans="1:26" x14ac:dyDescent="0.2">
      <c r="A119" s="847"/>
      <c r="B119" s="834"/>
      <c r="C119" s="834"/>
      <c r="D119" s="834"/>
      <c r="E119" s="834"/>
      <c r="F119" s="267"/>
      <c r="G119" s="59"/>
      <c r="H119" s="59"/>
      <c r="I119" s="40"/>
      <c r="J119" s="56"/>
      <c r="K119" s="59" t="s">
        <v>344</v>
      </c>
      <c r="L119" s="59" t="s">
        <v>30</v>
      </c>
      <c r="M119" s="37" t="s">
        <v>31</v>
      </c>
      <c r="N119" s="59">
        <f>VLOOKUP(M119,References!$B$7:$F$252,5,FALSE)</f>
        <v>36</v>
      </c>
      <c r="O119" s="267"/>
      <c r="P119" s="59"/>
      <c r="Q119" s="37"/>
      <c r="R119" s="122"/>
      <c r="S119" s="3"/>
      <c r="T119" s="11"/>
      <c r="U119" s="11"/>
      <c r="V119" s="11"/>
      <c r="W119" s="11"/>
      <c r="X119" s="11"/>
      <c r="Y119" s="11"/>
      <c r="Z119" s="11"/>
    </row>
    <row r="120" spans="1:26" x14ac:dyDescent="0.2">
      <c r="A120" s="830" t="s">
        <v>345</v>
      </c>
      <c r="B120" s="832" t="s">
        <v>346</v>
      </c>
      <c r="C120" s="832">
        <v>571.29999999999995</v>
      </c>
      <c r="D120" s="832" t="s">
        <v>347</v>
      </c>
      <c r="E120" s="832" t="s">
        <v>348</v>
      </c>
      <c r="F120" s="307" t="s">
        <v>349</v>
      </c>
      <c r="G120" s="58" t="s">
        <v>30</v>
      </c>
      <c r="H120" s="58" t="s">
        <v>33</v>
      </c>
      <c r="I120" s="30" t="s">
        <v>31</v>
      </c>
      <c r="J120" s="55">
        <f>VLOOKUP(I120,References!$B$7:$F$252,5,FALSE)</f>
        <v>36</v>
      </c>
      <c r="K120" s="58" t="s">
        <v>350</v>
      </c>
      <c r="L120" s="58" t="s">
        <v>27</v>
      </c>
      <c r="M120" s="30" t="s">
        <v>31</v>
      </c>
      <c r="N120" s="58">
        <f>VLOOKUP(M120,References!$B$7:$F$252,5,FALSE)</f>
        <v>36</v>
      </c>
      <c r="O120" s="307">
        <v>118</v>
      </c>
      <c r="P120" s="58" t="s">
        <v>27</v>
      </c>
      <c r="Q120" s="30" t="s">
        <v>310</v>
      </c>
      <c r="R120" s="100">
        <f>VLOOKUP(Q120,References!$B$7:$F$252,5,FALSE)</f>
        <v>1</v>
      </c>
      <c r="S120" s="3"/>
      <c r="T120" s="11"/>
      <c r="U120" s="11"/>
      <c r="V120" s="11"/>
      <c r="W120" s="11"/>
      <c r="X120" s="11"/>
      <c r="Y120" s="11"/>
      <c r="Z120" s="11"/>
    </row>
    <row r="121" spans="1:26" ht="16" thickBot="1" x14ac:dyDescent="0.25">
      <c r="A121" s="844"/>
      <c r="B121" s="845"/>
      <c r="C121" s="845"/>
      <c r="D121" s="845"/>
      <c r="E121" s="845"/>
      <c r="F121" s="311"/>
      <c r="G121" s="138"/>
      <c r="H121" s="138"/>
      <c r="I121" s="210"/>
      <c r="J121" s="227"/>
      <c r="K121" s="138" t="s">
        <v>351</v>
      </c>
      <c r="L121" s="138" t="s">
        <v>30</v>
      </c>
      <c r="M121" s="210" t="s">
        <v>31</v>
      </c>
      <c r="N121" s="138">
        <f>VLOOKUP(M121,References!$B$7:$F$252,5,FALSE)</f>
        <v>36</v>
      </c>
      <c r="O121" s="311" t="s">
        <v>352</v>
      </c>
      <c r="P121" s="138" t="s">
        <v>30</v>
      </c>
      <c r="Q121" s="210" t="s">
        <v>31</v>
      </c>
      <c r="R121" s="101">
        <f>VLOOKUP(Q121,References!$B$7:$F$252,5,FALSE)</f>
        <v>36</v>
      </c>
      <c r="S121" s="3"/>
      <c r="T121" s="11"/>
      <c r="U121" s="11"/>
      <c r="V121" s="11"/>
      <c r="W121" s="11"/>
      <c r="X121" s="11"/>
      <c r="Y121" s="11"/>
      <c r="Z121" s="11"/>
    </row>
    <row r="122" spans="1:26" ht="16" thickBot="1" x14ac:dyDescent="0.25">
      <c r="A122" s="237" t="s">
        <v>353</v>
      </c>
      <c r="B122" s="129" t="s">
        <v>354</v>
      </c>
      <c r="C122" s="82"/>
      <c r="D122" s="79"/>
      <c r="E122" s="79"/>
      <c r="F122" s="79"/>
      <c r="G122" s="79"/>
      <c r="H122" s="79"/>
      <c r="I122" s="128"/>
      <c r="J122" s="79"/>
      <c r="K122" s="79"/>
      <c r="L122" s="79"/>
      <c r="M122" s="128"/>
      <c r="N122" s="79"/>
      <c r="O122" s="79"/>
      <c r="P122" s="79"/>
      <c r="Q122" s="128"/>
      <c r="R122" s="80"/>
      <c r="S122" s="3"/>
      <c r="T122" s="11"/>
      <c r="U122" s="11"/>
      <c r="V122" s="11"/>
      <c r="W122" s="11"/>
      <c r="X122" s="11"/>
      <c r="Y122" s="11"/>
      <c r="Z122" s="11"/>
    </row>
    <row r="123" spans="1:26" ht="17" x14ac:dyDescent="0.25">
      <c r="A123" s="238" t="s">
        <v>355</v>
      </c>
      <c r="B123" s="135" t="s">
        <v>356</v>
      </c>
      <c r="C123" s="156">
        <v>557.20000000000005</v>
      </c>
      <c r="D123" s="135" t="s">
        <v>357</v>
      </c>
      <c r="E123" s="135" t="s">
        <v>358</v>
      </c>
      <c r="F123" s="305" t="s">
        <v>359</v>
      </c>
      <c r="G123" s="135" t="s">
        <v>30</v>
      </c>
      <c r="H123" s="135" t="s">
        <v>33</v>
      </c>
      <c r="I123" s="201" t="s">
        <v>31</v>
      </c>
      <c r="J123" s="226">
        <f>VLOOKUP(I123,References!$B$7:$F$252,5,FALSE)</f>
        <v>36</v>
      </c>
      <c r="K123" s="135" t="s">
        <v>360</v>
      </c>
      <c r="L123" s="135" t="s">
        <v>30</v>
      </c>
      <c r="M123" s="201" t="s">
        <v>31</v>
      </c>
      <c r="N123" s="135">
        <f>VLOOKUP(M123,References!$B$7:$F$252,5,FALSE)</f>
        <v>36</v>
      </c>
      <c r="O123" s="305" t="s">
        <v>361</v>
      </c>
      <c r="P123" s="135" t="s">
        <v>30</v>
      </c>
      <c r="Q123" s="201" t="s">
        <v>31</v>
      </c>
      <c r="R123" s="99">
        <f>VLOOKUP(Q123,References!$B$7:$F$252,5,FALSE)</f>
        <v>36</v>
      </c>
      <c r="S123" s="3"/>
      <c r="T123" s="11"/>
      <c r="U123" s="11"/>
      <c r="V123" s="11"/>
      <c r="W123" s="11"/>
      <c r="X123" s="11"/>
      <c r="Y123" s="11"/>
      <c r="Z123" s="11"/>
    </row>
    <row r="124" spans="1:26" ht="17" x14ac:dyDescent="0.25">
      <c r="A124" s="143" t="s">
        <v>362</v>
      </c>
      <c r="B124" s="131" t="s">
        <v>363</v>
      </c>
      <c r="C124" s="153">
        <v>571.20000000000005</v>
      </c>
      <c r="D124" s="131" t="s">
        <v>364</v>
      </c>
      <c r="E124" s="131" t="s">
        <v>365</v>
      </c>
      <c r="F124" s="312" t="s">
        <v>366</v>
      </c>
      <c r="G124" s="131" t="s">
        <v>30</v>
      </c>
      <c r="H124" s="131" t="s">
        <v>33</v>
      </c>
      <c r="I124" s="42" t="s">
        <v>31</v>
      </c>
      <c r="J124" s="120">
        <f>VLOOKUP(I124,References!$B$7:$F$252,5,FALSE)</f>
        <v>36</v>
      </c>
      <c r="K124" s="131" t="s">
        <v>367</v>
      </c>
      <c r="L124" s="131" t="s">
        <v>30</v>
      </c>
      <c r="M124" s="42" t="s">
        <v>31</v>
      </c>
      <c r="N124" s="131">
        <f>VLOOKUP(M124,References!$B$7:$F$252,5,FALSE)</f>
        <v>36</v>
      </c>
      <c r="O124" s="312" t="s">
        <v>368</v>
      </c>
      <c r="P124" s="131" t="s">
        <v>30</v>
      </c>
      <c r="Q124" s="42" t="s">
        <v>31</v>
      </c>
      <c r="R124" s="124">
        <f>VLOOKUP(Q124,References!$B$7:$F$252,5,FALSE)</f>
        <v>36</v>
      </c>
      <c r="S124" s="10"/>
      <c r="T124" s="11"/>
      <c r="U124" s="11"/>
      <c r="V124" s="11"/>
      <c r="W124" s="11"/>
      <c r="X124" s="11"/>
      <c r="Y124" s="11"/>
      <c r="Z124" s="11"/>
    </row>
    <row r="125" spans="1:26" ht="18" thickBot="1" x14ac:dyDescent="0.3">
      <c r="A125" s="743" t="s">
        <v>369</v>
      </c>
      <c r="B125" s="138" t="s">
        <v>370</v>
      </c>
      <c r="C125" s="146">
        <v>585.20000000000005</v>
      </c>
      <c r="D125" s="138" t="s">
        <v>371</v>
      </c>
      <c r="E125" s="138" t="s">
        <v>372</v>
      </c>
      <c r="F125" s="311" t="s">
        <v>373</v>
      </c>
      <c r="G125" s="138" t="s">
        <v>30</v>
      </c>
      <c r="H125" s="138" t="s">
        <v>33</v>
      </c>
      <c r="I125" s="210" t="s">
        <v>31</v>
      </c>
      <c r="J125" s="227">
        <f>VLOOKUP(I125,References!$B$7:$F$252,5,FALSE)</f>
        <v>36</v>
      </c>
      <c r="K125" s="138" t="s">
        <v>374</v>
      </c>
      <c r="L125" s="138" t="s">
        <v>30</v>
      </c>
      <c r="M125" s="210" t="s">
        <v>31</v>
      </c>
      <c r="N125" s="138">
        <f>VLOOKUP(M125,References!$B$7:$F$252,5,FALSE)</f>
        <v>36</v>
      </c>
      <c r="O125" s="311" t="s">
        <v>375</v>
      </c>
      <c r="P125" s="138" t="s">
        <v>30</v>
      </c>
      <c r="Q125" s="210" t="s">
        <v>31</v>
      </c>
      <c r="R125" s="101">
        <f>VLOOKUP(Q125,References!$B$7:$F$252,5,FALSE)</f>
        <v>36</v>
      </c>
      <c r="S125" s="3"/>
      <c r="T125" s="11"/>
      <c r="U125" s="11"/>
      <c r="V125" s="11"/>
      <c r="W125" s="11"/>
      <c r="X125" s="11"/>
      <c r="Y125" s="11"/>
      <c r="Z125" s="11"/>
    </row>
    <row r="126" spans="1:26" ht="16" thickBot="1" x14ac:dyDescent="0.25">
      <c r="A126" s="237" t="s">
        <v>376</v>
      </c>
      <c r="B126" s="129" t="s">
        <v>377</v>
      </c>
      <c r="C126" s="82"/>
      <c r="D126" s="79"/>
      <c r="E126" s="79"/>
      <c r="F126" s="79"/>
      <c r="G126" s="79"/>
      <c r="H126" s="79"/>
      <c r="I126" s="128"/>
      <c r="J126" s="79"/>
      <c r="K126" s="79"/>
      <c r="L126" s="79"/>
      <c r="M126" s="128"/>
      <c r="N126" s="79"/>
      <c r="O126" s="79"/>
      <c r="P126" s="79"/>
      <c r="Q126" s="128"/>
      <c r="R126" s="80"/>
      <c r="S126" s="3"/>
      <c r="T126" s="11"/>
      <c r="U126" s="11"/>
      <c r="V126" s="11"/>
      <c r="W126" s="11"/>
      <c r="X126" s="11"/>
      <c r="Y126" s="11"/>
      <c r="Z126" s="11"/>
    </row>
    <row r="127" spans="1:26" x14ac:dyDescent="0.2">
      <c r="A127" s="829" t="s">
        <v>378</v>
      </c>
      <c r="B127" s="831" t="s">
        <v>379</v>
      </c>
      <c r="C127" s="831">
        <v>264.10000000000002</v>
      </c>
      <c r="D127" s="831" t="s">
        <v>1608</v>
      </c>
      <c r="E127" s="831" t="s">
        <v>380</v>
      </c>
      <c r="F127" s="305">
        <v>1.51</v>
      </c>
      <c r="G127" s="135" t="s">
        <v>30</v>
      </c>
      <c r="H127" s="135" t="s">
        <v>33</v>
      </c>
      <c r="I127" s="201" t="s">
        <v>31</v>
      </c>
      <c r="J127" s="226">
        <f>VLOOKUP(I127,References!$B$7:$F$252,5,FALSE)</f>
        <v>36</v>
      </c>
      <c r="K127" s="306" t="s">
        <v>381</v>
      </c>
      <c r="L127" s="306" t="s">
        <v>27</v>
      </c>
      <c r="M127" s="201" t="s">
        <v>31</v>
      </c>
      <c r="N127" s="135">
        <f>VLOOKUP(M127,References!$B$7:$F$252,5,FALSE)</f>
        <v>36</v>
      </c>
      <c r="O127" s="305">
        <v>137.5</v>
      </c>
      <c r="P127" s="135" t="s">
        <v>27</v>
      </c>
      <c r="Q127" s="201" t="s">
        <v>382</v>
      </c>
      <c r="R127" s="99">
        <f>VLOOKUP(Q127,References!$B$7:$F$252,5,FALSE)</f>
        <v>64</v>
      </c>
      <c r="S127" s="3"/>
      <c r="T127" s="11"/>
      <c r="U127" s="11"/>
      <c r="V127" s="11"/>
      <c r="W127" s="11"/>
      <c r="X127" s="11"/>
      <c r="Y127" s="11"/>
      <c r="Z127" s="11"/>
    </row>
    <row r="128" spans="1:26" x14ac:dyDescent="0.2">
      <c r="A128" s="830"/>
      <c r="B128" s="832"/>
      <c r="C128" s="832"/>
      <c r="D128" s="832"/>
      <c r="E128" s="832"/>
      <c r="F128" s="307"/>
      <c r="G128" s="58"/>
      <c r="H128" s="58"/>
      <c r="I128" s="30"/>
      <c r="J128" s="55"/>
      <c r="K128" s="220" t="s">
        <v>383</v>
      </c>
      <c r="L128" s="220" t="s">
        <v>30</v>
      </c>
      <c r="M128" s="30" t="s">
        <v>384</v>
      </c>
      <c r="N128" s="58">
        <f>VLOOKUP(M128,References!$B$7:$F$252,5,FALSE)</f>
        <v>123</v>
      </c>
      <c r="O128" s="307" t="s">
        <v>385</v>
      </c>
      <c r="P128" s="58" t="s">
        <v>27</v>
      </c>
      <c r="Q128" s="30" t="s">
        <v>31</v>
      </c>
      <c r="R128" s="58">
        <f>VLOOKUP(Q128,References!$B$7:$F$252,5,FALSE)</f>
        <v>36</v>
      </c>
      <c r="S128" s="3"/>
      <c r="T128" s="11"/>
      <c r="U128" s="11"/>
      <c r="V128" s="11"/>
      <c r="W128" s="11"/>
      <c r="X128" s="11"/>
      <c r="Y128" s="11"/>
      <c r="Z128" s="11"/>
    </row>
    <row r="129" spans="1:26" x14ac:dyDescent="0.2">
      <c r="A129" s="830"/>
      <c r="B129" s="832"/>
      <c r="C129" s="832"/>
      <c r="D129" s="832"/>
      <c r="E129" s="832"/>
      <c r="F129" s="307"/>
      <c r="G129" s="58"/>
      <c r="H129" s="58"/>
      <c r="I129" s="30"/>
      <c r="J129" s="55"/>
      <c r="K129" s="220"/>
      <c r="L129" s="220"/>
      <c r="M129" s="30"/>
      <c r="N129" s="58"/>
      <c r="O129" s="307">
        <v>113.9</v>
      </c>
      <c r="P129" s="58" t="s">
        <v>30</v>
      </c>
      <c r="Q129" s="30" t="s">
        <v>384</v>
      </c>
      <c r="R129" s="100">
        <f>VLOOKUP(Q129,References!$B$7:$F$252,5,FALSE)</f>
        <v>123</v>
      </c>
      <c r="S129" s="3"/>
      <c r="T129" s="11"/>
      <c r="U129" s="11"/>
      <c r="V129" s="11"/>
      <c r="W129" s="11"/>
      <c r="X129" s="11"/>
      <c r="Y129" s="11"/>
      <c r="Z129" s="11"/>
    </row>
    <row r="130" spans="1:26" x14ac:dyDescent="0.2">
      <c r="A130" s="849" t="s">
        <v>386</v>
      </c>
      <c r="B130" s="833" t="s">
        <v>387</v>
      </c>
      <c r="C130" s="833">
        <v>364.1</v>
      </c>
      <c r="D130" s="833" t="s">
        <v>1609</v>
      </c>
      <c r="E130" s="833" t="s">
        <v>388</v>
      </c>
      <c r="F130" s="308" t="s">
        <v>389</v>
      </c>
      <c r="G130" s="57" t="s">
        <v>30</v>
      </c>
      <c r="H130" s="57" t="s">
        <v>33</v>
      </c>
      <c r="I130" s="41" t="s">
        <v>31</v>
      </c>
      <c r="J130" s="54">
        <f>VLOOKUP(I130,References!$B$7:$F$252,5,FALSE)</f>
        <v>36</v>
      </c>
      <c r="K130" s="315" t="s">
        <v>390</v>
      </c>
      <c r="L130" s="315" t="s">
        <v>27</v>
      </c>
      <c r="M130" s="41" t="s">
        <v>31</v>
      </c>
      <c r="N130" s="57">
        <f>VLOOKUP(M130,References!$B$7:$F$252,5,FALSE)</f>
        <v>36</v>
      </c>
      <c r="O130" s="308" t="s">
        <v>391</v>
      </c>
      <c r="P130" s="57" t="s">
        <v>27</v>
      </c>
      <c r="Q130" s="41" t="s">
        <v>382</v>
      </c>
      <c r="R130" s="121">
        <f>VLOOKUP(Q130,References!$B$7:$F$252,5,FALSE)</f>
        <v>64</v>
      </c>
      <c r="S130" s="3"/>
      <c r="T130" s="11"/>
      <c r="U130" s="11"/>
      <c r="V130" s="11"/>
      <c r="W130" s="11"/>
      <c r="X130" s="11"/>
      <c r="Y130" s="11"/>
      <c r="Z130" s="11"/>
    </row>
    <row r="131" spans="1:26" x14ac:dyDescent="0.2">
      <c r="A131" s="830"/>
      <c r="B131" s="832"/>
      <c r="C131" s="832"/>
      <c r="D131" s="832"/>
      <c r="E131" s="832"/>
      <c r="F131" s="307"/>
      <c r="G131" s="58"/>
      <c r="H131" s="58"/>
      <c r="I131" s="30"/>
      <c r="J131" s="55"/>
      <c r="K131" s="220" t="s">
        <v>392</v>
      </c>
      <c r="L131" s="220" t="s">
        <v>30</v>
      </c>
      <c r="M131" s="30" t="s">
        <v>31</v>
      </c>
      <c r="N131" s="58">
        <f>VLOOKUP(M131,References!$B$7:$F$252,5,FALSE)</f>
        <v>36</v>
      </c>
      <c r="O131" s="307" t="s">
        <v>393</v>
      </c>
      <c r="P131" s="58" t="s">
        <v>27</v>
      </c>
      <c r="Q131" s="30" t="s">
        <v>31</v>
      </c>
      <c r="R131" s="100">
        <f>VLOOKUP(Q131,References!$B$7:$F$252,5,FALSE)</f>
        <v>36</v>
      </c>
      <c r="S131" s="3"/>
      <c r="T131" s="11"/>
      <c r="U131" s="11"/>
      <c r="V131" s="11"/>
      <c r="W131" s="11"/>
      <c r="X131" s="11"/>
      <c r="Y131" s="11"/>
      <c r="Z131" s="11"/>
    </row>
    <row r="132" spans="1:26" x14ac:dyDescent="0.2">
      <c r="A132" s="847"/>
      <c r="B132" s="834"/>
      <c r="C132" s="834"/>
      <c r="D132" s="834"/>
      <c r="E132" s="834"/>
      <c r="F132" s="267"/>
      <c r="G132" s="59"/>
      <c r="H132" s="59"/>
      <c r="I132" s="37"/>
      <c r="J132" s="56"/>
      <c r="K132" s="220"/>
      <c r="L132" s="220"/>
      <c r="M132" s="38"/>
      <c r="N132" s="220"/>
      <c r="O132" s="267" t="s">
        <v>394</v>
      </c>
      <c r="P132" s="59" t="s">
        <v>30</v>
      </c>
      <c r="Q132" s="37" t="s">
        <v>31</v>
      </c>
      <c r="R132" s="122">
        <f>VLOOKUP(Q132,References!$B$7:$F$252,5,FALSE)</f>
        <v>36</v>
      </c>
      <c r="S132" s="3"/>
      <c r="T132" s="11"/>
      <c r="U132" s="11"/>
      <c r="V132" s="11"/>
      <c r="W132" s="11"/>
      <c r="X132" s="11"/>
      <c r="Y132" s="11"/>
      <c r="Z132" s="11"/>
    </row>
    <row r="133" spans="1:26" x14ac:dyDescent="0.2">
      <c r="A133" s="830" t="s">
        <v>395</v>
      </c>
      <c r="B133" s="832" t="s">
        <v>396</v>
      </c>
      <c r="C133" s="832">
        <v>464.1</v>
      </c>
      <c r="D133" s="832" t="s">
        <v>1610</v>
      </c>
      <c r="E133" s="832" t="s">
        <v>397</v>
      </c>
      <c r="F133" s="307" t="s">
        <v>398</v>
      </c>
      <c r="G133" s="58" t="s">
        <v>30</v>
      </c>
      <c r="H133" s="58" t="s">
        <v>33</v>
      </c>
      <c r="I133" s="30" t="s">
        <v>31</v>
      </c>
      <c r="J133" s="58">
        <f>VLOOKUP(I133,References!$B$7:$F$252,5,FALSE)</f>
        <v>36</v>
      </c>
      <c r="K133" s="308" t="s">
        <v>399</v>
      </c>
      <c r="L133" s="57" t="s">
        <v>27</v>
      </c>
      <c r="M133" s="41" t="s">
        <v>31</v>
      </c>
      <c r="N133" s="54">
        <f>VLOOKUP(M133,References!$B$7:$F$252,5,FALSE)</f>
        <v>36</v>
      </c>
      <c r="O133" s="316">
        <v>201.3</v>
      </c>
      <c r="P133" s="316" t="s">
        <v>27</v>
      </c>
      <c r="Q133" s="30" t="s">
        <v>400</v>
      </c>
      <c r="R133" s="100">
        <f>VLOOKUP(Q133,References!$B$7:$F$252,5,FALSE)</f>
        <v>56</v>
      </c>
      <c r="S133" s="3"/>
      <c r="T133" s="11"/>
      <c r="U133" s="11"/>
      <c r="V133" s="11"/>
      <c r="W133" s="11"/>
      <c r="X133" s="11"/>
      <c r="Y133" s="11"/>
      <c r="Z133" s="11"/>
    </row>
    <row r="134" spans="1:26" x14ac:dyDescent="0.2">
      <c r="A134" s="830"/>
      <c r="B134" s="832"/>
      <c r="C134" s="832"/>
      <c r="D134" s="832"/>
      <c r="E134" s="832"/>
      <c r="F134" s="307"/>
      <c r="G134" s="58"/>
      <c r="H134" s="58"/>
      <c r="I134" s="39"/>
      <c r="J134" s="58"/>
      <c r="K134" s="458" t="s">
        <v>401</v>
      </c>
      <c r="L134" s="220" t="s">
        <v>30</v>
      </c>
      <c r="M134" s="30" t="s">
        <v>31</v>
      </c>
      <c r="N134" s="55">
        <f>VLOOKUP(M134,References!$B$7:$F$252,5,FALSE)</f>
        <v>36</v>
      </c>
      <c r="O134" s="316" t="s">
        <v>402</v>
      </c>
      <c r="P134" s="316" t="s">
        <v>27</v>
      </c>
      <c r="Q134" s="30" t="s">
        <v>382</v>
      </c>
      <c r="R134" s="100">
        <f>VLOOKUP(Q134,References!$B$7:$F$252,5,FALSE)</f>
        <v>64</v>
      </c>
      <c r="S134" s="3"/>
      <c r="T134" s="11"/>
      <c r="U134" s="11"/>
      <c r="V134" s="11"/>
      <c r="W134" s="11"/>
      <c r="X134" s="11"/>
      <c r="Y134" s="11"/>
      <c r="Z134" s="11"/>
    </row>
    <row r="135" spans="1:26" x14ac:dyDescent="0.2">
      <c r="A135" s="830"/>
      <c r="B135" s="832"/>
      <c r="C135" s="832"/>
      <c r="D135" s="832"/>
      <c r="E135" s="832"/>
      <c r="F135" s="307"/>
      <c r="G135" s="58"/>
      <c r="H135" s="58"/>
      <c r="I135" s="39"/>
      <c r="J135" s="58"/>
      <c r="K135" s="307" t="s">
        <v>403</v>
      </c>
      <c r="L135" s="58" t="s">
        <v>27</v>
      </c>
      <c r="M135" s="30" t="s">
        <v>55</v>
      </c>
      <c r="N135" s="55">
        <f>VLOOKUP(M135,References!$B$7:$F$252,5,FALSE)</f>
        <v>150</v>
      </c>
      <c r="O135" s="316" t="s">
        <v>404</v>
      </c>
      <c r="P135" s="316" t="s">
        <v>27</v>
      </c>
      <c r="Q135" s="30" t="s">
        <v>31</v>
      </c>
      <c r="R135" s="58">
        <f>VLOOKUP(Q135,References!$B$7:$F$252,5,FALSE)</f>
        <v>36</v>
      </c>
      <c r="S135" s="3"/>
      <c r="T135" s="11"/>
      <c r="U135" s="11"/>
      <c r="V135" s="11"/>
      <c r="W135" s="11"/>
      <c r="X135" s="11"/>
      <c r="Y135" s="11"/>
      <c r="Z135" s="11"/>
    </row>
    <row r="136" spans="1:26" x14ac:dyDescent="0.2">
      <c r="A136" s="830"/>
      <c r="B136" s="832"/>
      <c r="C136" s="832"/>
      <c r="D136" s="832"/>
      <c r="E136" s="832"/>
      <c r="F136" s="307"/>
      <c r="G136" s="58"/>
      <c r="H136" s="58"/>
      <c r="I136" s="39"/>
      <c r="J136" s="58"/>
      <c r="K136" s="267"/>
      <c r="L136" s="59"/>
      <c r="M136" s="37"/>
      <c r="N136" s="56"/>
      <c r="O136" s="316" t="s">
        <v>405</v>
      </c>
      <c r="P136" s="316" t="s">
        <v>30</v>
      </c>
      <c r="Q136" s="30" t="s">
        <v>31</v>
      </c>
      <c r="R136" s="100">
        <f>VLOOKUP(Q136,References!$B$7:$F$252,5,FALSE)</f>
        <v>36</v>
      </c>
      <c r="S136" s="3"/>
      <c r="T136" s="11"/>
      <c r="U136" s="11"/>
      <c r="V136" s="11"/>
      <c r="W136" s="11"/>
      <c r="X136" s="11"/>
      <c r="Y136" s="11"/>
      <c r="Z136" s="11"/>
    </row>
    <row r="137" spans="1:26" ht="15" customHeight="1" x14ac:dyDescent="0.2">
      <c r="A137" s="849" t="s">
        <v>406</v>
      </c>
      <c r="B137" s="833" t="s">
        <v>407</v>
      </c>
      <c r="C137" s="833">
        <v>564.1</v>
      </c>
      <c r="D137" s="833" t="s">
        <v>1611</v>
      </c>
      <c r="E137" s="833" t="s">
        <v>408</v>
      </c>
      <c r="F137" s="308" t="s">
        <v>409</v>
      </c>
      <c r="G137" s="57" t="s">
        <v>30</v>
      </c>
      <c r="H137" s="57" t="s">
        <v>33</v>
      </c>
      <c r="I137" s="41" t="s">
        <v>31</v>
      </c>
      <c r="J137" s="54">
        <f>VLOOKUP(I137,References!$B$7:$F$252,5,FALSE)</f>
        <v>36</v>
      </c>
      <c r="K137" s="308" t="s">
        <v>410</v>
      </c>
      <c r="L137" s="57" t="s">
        <v>27</v>
      </c>
      <c r="M137" s="41" t="s">
        <v>31</v>
      </c>
      <c r="N137" s="54">
        <f>VLOOKUP(M137,References!$B$7:$F$252,5,FALSE)</f>
        <v>36</v>
      </c>
      <c r="O137" s="317">
        <v>228.4</v>
      </c>
      <c r="P137" s="317" t="s">
        <v>27</v>
      </c>
      <c r="Q137" s="41" t="s">
        <v>382</v>
      </c>
      <c r="R137" s="121">
        <f>VLOOKUP(Q137,References!$B$7:$F$252,5,FALSE)</f>
        <v>64</v>
      </c>
      <c r="S137" s="3"/>
    </row>
    <row r="138" spans="1:26" ht="16.5" customHeight="1" x14ac:dyDescent="0.2">
      <c r="A138" s="830"/>
      <c r="B138" s="832"/>
      <c r="C138" s="832"/>
      <c r="D138" s="832"/>
      <c r="E138" s="832"/>
      <c r="F138" s="307"/>
      <c r="G138" s="58"/>
      <c r="H138" s="58"/>
      <c r="I138" s="39"/>
      <c r="J138" s="55"/>
      <c r="K138" s="458" t="s">
        <v>411</v>
      </c>
      <c r="L138" s="220" t="s">
        <v>27</v>
      </c>
      <c r="M138" s="30" t="s">
        <v>31</v>
      </c>
      <c r="N138" s="55">
        <f>VLOOKUP(M138,References!$B$7:$F$252,5,FALSE)</f>
        <v>36</v>
      </c>
      <c r="O138" s="316" t="s">
        <v>412</v>
      </c>
      <c r="P138" s="316" t="s">
        <v>30</v>
      </c>
      <c r="Q138" s="30" t="s">
        <v>31</v>
      </c>
      <c r="R138" s="100">
        <f>VLOOKUP(Q138,References!$B$7:$F$252,5,FALSE)</f>
        <v>36</v>
      </c>
      <c r="S138" s="3"/>
    </row>
    <row r="139" spans="1:26" ht="16.5" customHeight="1" thickBot="1" x14ac:dyDescent="0.25">
      <c r="A139" s="844"/>
      <c r="B139" s="845"/>
      <c r="C139" s="845"/>
      <c r="D139" s="845"/>
      <c r="E139" s="845"/>
      <c r="F139" s="311"/>
      <c r="G139" s="138"/>
      <c r="H139" s="138"/>
      <c r="I139" s="215"/>
      <c r="J139" s="227"/>
      <c r="K139" s="318" t="s">
        <v>413</v>
      </c>
      <c r="L139" s="319" t="s">
        <v>27</v>
      </c>
      <c r="M139" s="210" t="s">
        <v>55</v>
      </c>
      <c r="N139" s="227">
        <f>VLOOKUP(M139,References!$B$7:$F$252,5,FALSE)</f>
        <v>150</v>
      </c>
      <c r="O139" s="138" t="s">
        <v>414</v>
      </c>
      <c r="P139" s="320" t="s">
        <v>27</v>
      </c>
      <c r="Q139" s="210" t="s">
        <v>31</v>
      </c>
      <c r="R139" s="101">
        <f>VLOOKUP(Q139,References!$B$7:$F$252,5,FALSE)</f>
        <v>36</v>
      </c>
      <c r="S139" s="3"/>
    </row>
    <row r="140" spans="1:26" ht="16" thickBot="1" x14ac:dyDescent="0.25">
      <c r="A140" s="750" t="s">
        <v>415</v>
      </c>
      <c r="B140" s="751" t="s">
        <v>416</v>
      </c>
      <c r="C140" s="385"/>
      <c r="D140" s="266"/>
      <c r="E140" s="752"/>
      <c r="F140" s="266"/>
      <c r="G140" s="266"/>
      <c r="H140" s="266"/>
      <c r="I140" s="265"/>
      <c r="J140" s="266"/>
      <c r="K140" s="266"/>
      <c r="L140" s="266"/>
      <c r="M140" s="265"/>
      <c r="N140" s="266"/>
      <c r="O140" s="266"/>
      <c r="P140" s="266"/>
      <c r="Q140" s="265"/>
      <c r="R140" s="288"/>
      <c r="S140" s="3"/>
    </row>
    <row r="141" spans="1:26" ht="17" x14ac:dyDescent="0.25">
      <c r="A141" s="595" t="s">
        <v>417</v>
      </c>
      <c r="B141" s="296" t="s">
        <v>418</v>
      </c>
      <c r="C141" s="466">
        <v>180.03</v>
      </c>
      <c r="D141" s="296" t="s">
        <v>1612</v>
      </c>
      <c r="E141" s="749" t="s">
        <v>419</v>
      </c>
      <c r="F141" s="296" t="s">
        <v>420</v>
      </c>
      <c r="G141" s="296" t="s">
        <v>30</v>
      </c>
      <c r="H141" s="296" t="s">
        <v>33</v>
      </c>
      <c r="I141" s="297" t="s">
        <v>31</v>
      </c>
      <c r="J141" s="749">
        <f>VLOOKUP(I141,References!$B$7:$F$252,5,FALSE)</f>
        <v>36</v>
      </c>
      <c r="K141" s="745" t="s">
        <v>421</v>
      </c>
      <c r="L141" s="296" t="s">
        <v>30</v>
      </c>
      <c r="M141" s="297" t="s">
        <v>31</v>
      </c>
      <c r="N141" s="749">
        <f>VLOOKUP(M141,References!$B$7:$F$252,5,FALSE)</f>
        <v>36</v>
      </c>
      <c r="O141" s="296" t="s">
        <v>422</v>
      </c>
      <c r="P141" s="296" t="s">
        <v>30</v>
      </c>
      <c r="Q141" s="297" t="s">
        <v>31</v>
      </c>
      <c r="R141" s="173">
        <f>VLOOKUP(Q141,References!$B$7:$F$252,5,FALSE)</f>
        <v>36</v>
      </c>
      <c r="S141" s="3"/>
    </row>
    <row r="142" spans="1:26" ht="17.25" customHeight="1" x14ac:dyDescent="0.2">
      <c r="A142" s="838" t="s">
        <v>423</v>
      </c>
      <c r="B142" s="832" t="s">
        <v>424</v>
      </c>
      <c r="C142" s="832">
        <v>330.1</v>
      </c>
      <c r="D142" s="832" t="s">
        <v>425</v>
      </c>
      <c r="E142" s="832" t="s">
        <v>426</v>
      </c>
      <c r="F142" s="307">
        <v>1.85</v>
      </c>
      <c r="G142" s="58" t="s">
        <v>30</v>
      </c>
      <c r="H142" s="58">
        <v>20</v>
      </c>
      <c r="I142" s="30" t="s">
        <v>427</v>
      </c>
      <c r="J142" s="55">
        <f>VLOOKUP(I142,References!$B$7:$F$252,5,FALSE)</f>
        <v>16</v>
      </c>
      <c r="K142" s="58">
        <v>27.8</v>
      </c>
      <c r="L142" s="58" t="s">
        <v>30</v>
      </c>
      <c r="M142" s="30" t="s">
        <v>31</v>
      </c>
      <c r="N142" s="58">
        <f>VLOOKUP(M142,References!$B$7:$F$252,5,FALSE)</f>
        <v>36</v>
      </c>
      <c r="O142" s="307" t="s">
        <v>428</v>
      </c>
      <c r="P142" s="58" t="s">
        <v>27</v>
      </c>
      <c r="Q142" s="30" t="s">
        <v>228</v>
      </c>
      <c r="R142" s="100">
        <f>VLOOKUP(Q142,References!$B$7:$F$252,5,FALSE)</f>
        <v>8</v>
      </c>
      <c r="S142" s="3"/>
    </row>
    <row r="143" spans="1:26" ht="17.25" customHeight="1" x14ac:dyDescent="0.2">
      <c r="A143" s="838"/>
      <c r="B143" s="832"/>
      <c r="C143" s="832"/>
      <c r="D143" s="832"/>
      <c r="E143" s="832"/>
      <c r="F143" s="307">
        <v>1.69</v>
      </c>
      <c r="G143" s="58" t="s">
        <v>30</v>
      </c>
      <c r="H143" s="58">
        <v>20</v>
      </c>
      <c r="I143" s="30" t="s">
        <v>429</v>
      </c>
      <c r="J143" s="55">
        <f>VLOOKUP(I143,References!$B$7:$F$252,5,FALSE)</f>
        <v>50</v>
      </c>
      <c r="K143" s="58" t="s">
        <v>430</v>
      </c>
      <c r="L143" s="58" t="s">
        <v>30</v>
      </c>
      <c r="M143" s="30" t="s">
        <v>429</v>
      </c>
      <c r="N143" s="55">
        <f>VLOOKUP(M143,References!$B$7:$F$252,5,FALSE)</f>
        <v>50</v>
      </c>
      <c r="O143" s="307"/>
      <c r="P143" s="58"/>
      <c r="Q143" s="30"/>
      <c r="R143" s="100"/>
      <c r="S143" s="3"/>
    </row>
    <row r="144" spans="1:26" ht="18" customHeight="1" x14ac:dyDescent="0.2">
      <c r="A144" s="840"/>
      <c r="B144" s="834"/>
      <c r="C144" s="832"/>
      <c r="D144" s="832"/>
      <c r="E144" s="832"/>
      <c r="F144" s="307">
        <v>1.75</v>
      </c>
      <c r="G144" s="58" t="s">
        <v>30</v>
      </c>
      <c r="H144" s="58" t="s">
        <v>33</v>
      </c>
      <c r="I144" s="30" t="s">
        <v>31</v>
      </c>
      <c r="J144" s="55">
        <f>VLOOKUP(I144,References!$B$7:$F$252,5,FALSE)</f>
        <v>36</v>
      </c>
      <c r="K144" s="58" t="s">
        <v>431</v>
      </c>
      <c r="L144" s="58" t="s">
        <v>30</v>
      </c>
      <c r="M144" s="30" t="s">
        <v>31</v>
      </c>
      <c r="N144" s="55">
        <f>VLOOKUP(M144,References!$B$7:$F$252,5,FALSE)</f>
        <v>36</v>
      </c>
      <c r="O144" s="307">
        <v>129</v>
      </c>
      <c r="P144" s="58" t="s">
        <v>30</v>
      </c>
      <c r="Q144" s="30" t="s">
        <v>429</v>
      </c>
      <c r="R144" s="100">
        <f>VLOOKUP(Q144,References!$B$7:$F$252,5,FALSE)</f>
        <v>50</v>
      </c>
      <c r="S144" s="3"/>
    </row>
    <row r="145" spans="1:19" x14ac:dyDescent="0.2">
      <c r="A145" s="839" t="s">
        <v>432</v>
      </c>
      <c r="B145" s="833" t="s">
        <v>433</v>
      </c>
      <c r="C145" s="833">
        <v>347.1</v>
      </c>
      <c r="D145" s="833" t="s">
        <v>434</v>
      </c>
      <c r="E145" s="833" t="s">
        <v>435</v>
      </c>
      <c r="F145" s="308">
        <v>1.1200000000000001</v>
      </c>
      <c r="G145" s="57" t="s">
        <v>27</v>
      </c>
      <c r="H145" s="57">
        <v>23</v>
      </c>
      <c r="I145" s="41" t="s">
        <v>436</v>
      </c>
      <c r="J145" s="54">
        <f>VLOOKUP(I145,References!$B$7:$F$252,5,FALSE)</f>
        <v>32</v>
      </c>
      <c r="K145" s="57">
        <v>-21</v>
      </c>
      <c r="L145" s="57" t="s">
        <v>27</v>
      </c>
      <c r="M145" s="41" t="s">
        <v>436</v>
      </c>
      <c r="N145" s="57">
        <f>VLOOKUP(M145,References!$B$7:$F$252,5,FALSE)</f>
        <v>32</v>
      </c>
      <c r="O145" s="308" t="s">
        <v>431</v>
      </c>
      <c r="P145" s="57" t="s">
        <v>30</v>
      </c>
      <c r="Q145" s="41" t="s">
        <v>31</v>
      </c>
      <c r="R145" s="121">
        <f>VLOOKUP(Q145,References!$B$7:$F$252,5,FALSE)</f>
        <v>36</v>
      </c>
      <c r="S145" s="3"/>
    </row>
    <row r="146" spans="1:19" x14ac:dyDescent="0.2">
      <c r="A146" s="838"/>
      <c r="B146" s="832"/>
      <c r="C146" s="832"/>
      <c r="D146" s="832"/>
      <c r="E146" s="832"/>
      <c r="F146" s="307">
        <v>1.75</v>
      </c>
      <c r="G146" s="58" t="s">
        <v>30</v>
      </c>
      <c r="H146" s="58" t="s">
        <v>33</v>
      </c>
      <c r="I146" s="30" t="s">
        <v>31</v>
      </c>
      <c r="J146" s="55">
        <f>VLOOKUP(I146,References!$B$7:$F$252,5,FALSE)</f>
        <v>36</v>
      </c>
      <c r="K146" s="58">
        <v>4.2699999999999996</v>
      </c>
      <c r="L146" s="58" t="s">
        <v>30</v>
      </c>
      <c r="M146" s="30" t="s">
        <v>31</v>
      </c>
      <c r="N146" s="55">
        <f>VLOOKUP(M146,References!$B$7:$F$252,5,FALSE)</f>
        <v>36</v>
      </c>
      <c r="O146" s="307">
        <v>108</v>
      </c>
      <c r="P146" s="58" t="s">
        <v>27</v>
      </c>
      <c r="Q146" s="30" t="s">
        <v>436</v>
      </c>
      <c r="R146" s="100">
        <f>VLOOKUP(Q146,References!$B$7:$F$252,5,FALSE)</f>
        <v>32</v>
      </c>
      <c r="S146" s="3"/>
    </row>
    <row r="147" spans="1:19" x14ac:dyDescent="0.2">
      <c r="A147" s="840"/>
      <c r="B147" s="834"/>
      <c r="C147" s="834"/>
      <c r="D147" s="834"/>
      <c r="E147" s="834"/>
      <c r="F147" s="267"/>
      <c r="G147" s="59"/>
      <c r="H147" s="59"/>
      <c r="I147" s="37"/>
      <c r="J147" s="56"/>
      <c r="K147" s="59"/>
      <c r="L147" s="59"/>
      <c r="M147" s="37"/>
      <c r="N147" s="58"/>
      <c r="O147" s="267"/>
      <c r="P147" s="59"/>
      <c r="Q147" s="37"/>
      <c r="R147" s="122"/>
      <c r="S147" s="3"/>
    </row>
    <row r="148" spans="1:19" ht="17" x14ac:dyDescent="0.25">
      <c r="A148" s="295" t="s">
        <v>437</v>
      </c>
      <c r="B148" s="59" t="s">
        <v>438</v>
      </c>
      <c r="C148" s="294">
        <v>230</v>
      </c>
      <c r="D148" s="59" t="s">
        <v>439</v>
      </c>
      <c r="E148" s="59" t="s">
        <v>440</v>
      </c>
      <c r="F148" s="267" t="s">
        <v>441</v>
      </c>
      <c r="G148" s="59" t="s">
        <v>30</v>
      </c>
      <c r="H148" s="59" t="s">
        <v>33</v>
      </c>
      <c r="I148" s="37" t="s">
        <v>31</v>
      </c>
      <c r="J148" s="56">
        <f>VLOOKUP(I148,References!$B$7:$F$252,5,FALSE)</f>
        <v>36</v>
      </c>
      <c r="K148" s="225" t="s">
        <v>442</v>
      </c>
      <c r="L148" s="225" t="s">
        <v>30</v>
      </c>
      <c r="M148" s="37" t="s">
        <v>31</v>
      </c>
      <c r="N148" s="59">
        <f>VLOOKUP(M148,References!$B$7:$F$252,5,FALSE)</f>
        <v>36</v>
      </c>
      <c r="O148" s="267" t="s">
        <v>443</v>
      </c>
      <c r="P148" s="59" t="s">
        <v>30</v>
      </c>
      <c r="Q148" s="37" t="s">
        <v>31</v>
      </c>
      <c r="R148" s="122">
        <f>VLOOKUP(Q148,References!$B$7:$F$252,5,FALSE)</f>
        <v>36</v>
      </c>
      <c r="S148" s="10"/>
    </row>
    <row r="149" spans="1:19" ht="17" x14ac:dyDescent="0.25">
      <c r="A149" s="136" t="s">
        <v>444</v>
      </c>
      <c r="B149" s="58" t="s">
        <v>445</v>
      </c>
      <c r="C149" s="133">
        <v>280</v>
      </c>
      <c r="D149" s="58" t="s">
        <v>446</v>
      </c>
      <c r="E149" s="58" t="s">
        <v>447</v>
      </c>
      <c r="F149" s="307" t="s">
        <v>448</v>
      </c>
      <c r="G149" s="58" t="s">
        <v>30</v>
      </c>
      <c r="H149" s="58" t="s">
        <v>33</v>
      </c>
      <c r="I149" s="30" t="s">
        <v>31</v>
      </c>
      <c r="J149" s="55">
        <f>VLOOKUP(I149,References!$B$7:$F$252,5,FALSE)</f>
        <v>36</v>
      </c>
      <c r="K149" s="58" t="s">
        <v>449</v>
      </c>
      <c r="L149" s="58" t="s">
        <v>30</v>
      </c>
      <c r="M149" s="30" t="s">
        <v>31</v>
      </c>
      <c r="N149" s="58">
        <f>VLOOKUP(M149,References!$B$7:$F$252,5,FALSE)</f>
        <v>36</v>
      </c>
      <c r="O149" s="307" t="s">
        <v>450</v>
      </c>
      <c r="P149" s="58" t="s">
        <v>30</v>
      </c>
      <c r="Q149" s="30" t="s">
        <v>31</v>
      </c>
      <c r="R149" s="100">
        <f>VLOOKUP(Q149,References!$B$7:$F$252,5,FALSE)</f>
        <v>36</v>
      </c>
      <c r="S149" s="10"/>
    </row>
    <row r="150" spans="1:19" ht="18" thickBot="1" x14ac:dyDescent="0.3">
      <c r="A150" s="168" t="s">
        <v>451</v>
      </c>
      <c r="B150" s="169" t="s">
        <v>452</v>
      </c>
      <c r="C150" s="300">
        <v>296</v>
      </c>
      <c r="D150" s="169" t="s">
        <v>453</v>
      </c>
      <c r="E150" s="169" t="s">
        <v>454</v>
      </c>
      <c r="F150" s="313" t="s">
        <v>455</v>
      </c>
      <c r="G150" s="169" t="s">
        <v>30</v>
      </c>
      <c r="H150" s="169" t="s">
        <v>33</v>
      </c>
      <c r="I150" s="203" t="s">
        <v>31</v>
      </c>
      <c r="J150" s="228">
        <f>VLOOKUP(I150,References!$B$7:$F$252,5,FALSE)</f>
        <v>36</v>
      </c>
      <c r="K150" s="169" t="s">
        <v>456</v>
      </c>
      <c r="L150" s="169" t="s">
        <v>30</v>
      </c>
      <c r="M150" s="203" t="s">
        <v>31</v>
      </c>
      <c r="N150" s="169">
        <f>VLOOKUP(M150,References!$B$7:$F$252,5,FALSE)</f>
        <v>36</v>
      </c>
      <c r="O150" s="313" t="s">
        <v>457</v>
      </c>
      <c r="P150" s="169" t="s">
        <v>30</v>
      </c>
      <c r="Q150" s="203" t="s">
        <v>31</v>
      </c>
      <c r="R150" s="213">
        <f>VLOOKUP(Q150,References!$B$7:$F$252,5,FALSE)</f>
        <v>36</v>
      </c>
      <c r="S150" s="3"/>
    </row>
    <row r="151" spans="1:19" ht="16" thickBot="1" x14ac:dyDescent="0.25">
      <c r="A151" s="237" t="s">
        <v>458</v>
      </c>
      <c r="B151" s="129" t="s">
        <v>459</v>
      </c>
      <c r="C151" s="82"/>
      <c r="D151" s="79"/>
      <c r="E151" s="79"/>
      <c r="F151" s="79"/>
      <c r="G151" s="79"/>
      <c r="H151" s="79"/>
      <c r="I151" s="128"/>
      <c r="J151" s="79"/>
      <c r="K151" s="79"/>
      <c r="L151" s="79"/>
      <c r="M151" s="128"/>
      <c r="N151" s="79"/>
      <c r="O151" s="79"/>
      <c r="P151" s="79"/>
      <c r="Q151" s="128"/>
      <c r="R151" s="80"/>
      <c r="S151" s="3"/>
    </row>
    <row r="152" spans="1:19" ht="33" x14ac:dyDescent="0.25">
      <c r="A152" s="301" t="s">
        <v>460</v>
      </c>
      <c r="B152" s="177" t="s">
        <v>461</v>
      </c>
      <c r="C152" s="156">
        <v>632.6</v>
      </c>
      <c r="D152" s="135" t="s">
        <v>462</v>
      </c>
      <c r="E152" s="135" t="s">
        <v>463</v>
      </c>
      <c r="F152" s="305">
        <v>1.86</v>
      </c>
      <c r="G152" s="135" t="s">
        <v>30</v>
      </c>
      <c r="H152" s="135" t="s">
        <v>33</v>
      </c>
      <c r="I152" s="201" t="s">
        <v>31</v>
      </c>
      <c r="J152" s="226">
        <f>VLOOKUP(I152,References!$B$7:$F$252,5,FALSE)</f>
        <v>36</v>
      </c>
      <c r="K152" s="135">
        <v>179</v>
      </c>
      <c r="L152" s="135" t="s">
        <v>30</v>
      </c>
      <c r="M152" s="201" t="s">
        <v>31</v>
      </c>
      <c r="N152" s="135">
        <f>VLOOKUP(M152,References!$B$7:$F$252,5,FALSE)</f>
        <v>36</v>
      </c>
      <c r="O152" s="305">
        <v>224</v>
      </c>
      <c r="P152" s="135" t="s">
        <v>30</v>
      </c>
      <c r="Q152" s="201" t="s">
        <v>31</v>
      </c>
      <c r="R152" s="99">
        <f>VLOOKUP(Q152,References!$B$7:$F$252,5,FALSE)</f>
        <v>36</v>
      </c>
      <c r="S152" s="3"/>
    </row>
    <row r="153" spans="1:19" x14ac:dyDescent="0.2">
      <c r="A153" s="839" t="s">
        <v>464</v>
      </c>
      <c r="B153" s="850" t="s">
        <v>465</v>
      </c>
      <c r="C153" s="833">
        <v>532.6</v>
      </c>
      <c r="D153" s="833" t="s">
        <v>466</v>
      </c>
      <c r="E153" s="833" t="s">
        <v>467</v>
      </c>
      <c r="F153" s="308">
        <v>1.87</v>
      </c>
      <c r="G153" s="57" t="s">
        <v>30</v>
      </c>
      <c r="H153" s="57" t="s">
        <v>33</v>
      </c>
      <c r="I153" s="41" t="s">
        <v>31</v>
      </c>
      <c r="J153" s="54">
        <f>VLOOKUP(I153,References!$B$7:$F$252,5,FALSE)</f>
        <v>36</v>
      </c>
      <c r="K153" s="57">
        <v>171</v>
      </c>
      <c r="L153" s="57" t="s">
        <v>30</v>
      </c>
      <c r="M153" s="41" t="s">
        <v>31</v>
      </c>
      <c r="N153" s="57">
        <f>VLOOKUP(M153,References!$B$7:$F$252,5,FALSE)</f>
        <v>36</v>
      </c>
      <c r="O153" s="308">
        <v>217</v>
      </c>
      <c r="P153" s="57" t="s">
        <v>30</v>
      </c>
      <c r="Q153" s="41" t="s">
        <v>31</v>
      </c>
      <c r="R153" s="121">
        <f>VLOOKUP(Q153,References!$B$7:$F$252,5,FALSE)</f>
        <v>36</v>
      </c>
      <c r="S153" s="10"/>
    </row>
    <row r="154" spans="1:19" x14ac:dyDescent="0.2">
      <c r="A154" s="840"/>
      <c r="B154" s="851"/>
      <c r="C154" s="834"/>
      <c r="D154" s="834"/>
      <c r="E154" s="834"/>
      <c r="F154" s="267"/>
      <c r="G154" s="59"/>
      <c r="H154" s="59"/>
      <c r="I154" s="40"/>
      <c r="J154" s="56"/>
      <c r="K154" s="309"/>
      <c r="L154" s="309"/>
      <c r="M154" s="37"/>
      <c r="N154" s="59"/>
      <c r="O154" s="459"/>
      <c r="P154" s="309"/>
      <c r="Q154" s="37"/>
      <c r="R154" s="122"/>
      <c r="S154" s="10"/>
    </row>
    <row r="155" spans="1:19" ht="18" thickBot="1" x14ac:dyDescent="0.3">
      <c r="A155" s="137" t="s">
        <v>468</v>
      </c>
      <c r="B155" s="138" t="s">
        <v>469</v>
      </c>
      <c r="C155" s="146">
        <v>316.10000000000002</v>
      </c>
      <c r="D155" s="138" t="s">
        <v>470</v>
      </c>
      <c r="E155" s="138" t="s">
        <v>471</v>
      </c>
      <c r="F155" s="321" t="s">
        <v>472</v>
      </c>
      <c r="G155" s="146" t="s">
        <v>30</v>
      </c>
      <c r="H155" s="146" t="s">
        <v>33</v>
      </c>
      <c r="I155" s="210" t="s">
        <v>31</v>
      </c>
      <c r="J155" s="227">
        <f>VLOOKUP(I155,References!$B$7:$F$252,5,FALSE)</f>
        <v>36</v>
      </c>
      <c r="K155" s="146" t="s">
        <v>473</v>
      </c>
      <c r="L155" s="146" t="s">
        <v>30</v>
      </c>
      <c r="M155" s="210" t="s">
        <v>31</v>
      </c>
      <c r="N155" s="138">
        <f>VLOOKUP(M155,References!$B$7:$F$252,5,FALSE)</f>
        <v>36</v>
      </c>
      <c r="O155" s="321" t="s">
        <v>474</v>
      </c>
      <c r="P155" s="146" t="s">
        <v>30</v>
      </c>
      <c r="Q155" s="210" t="s">
        <v>31</v>
      </c>
      <c r="R155" s="101">
        <f>VLOOKUP(Q155,References!$B$7:$F$252,5,FALSE)</f>
        <v>36</v>
      </c>
      <c r="S155" s="10"/>
    </row>
    <row r="156" spans="1:19" ht="16" thickBot="1" x14ac:dyDescent="0.25">
      <c r="A156" s="302" t="s">
        <v>475</v>
      </c>
      <c r="B156" s="303"/>
      <c r="C156" s="304"/>
      <c r="D156" s="223"/>
      <c r="E156" s="223"/>
      <c r="F156" s="223"/>
      <c r="G156" s="223"/>
      <c r="H156" s="223"/>
      <c r="I156" s="132"/>
      <c r="J156" s="223"/>
      <c r="K156" s="223"/>
      <c r="L156" s="223"/>
      <c r="M156" s="132"/>
      <c r="N156" s="223"/>
      <c r="O156" s="223"/>
      <c r="P156" s="223"/>
      <c r="Q156" s="132"/>
      <c r="R156" s="287"/>
      <c r="S156" s="3"/>
    </row>
    <row r="157" spans="1:19" ht="18.75" customHeight="1" x14ac:dyDescent="0.2">
      <c r="A157" s="865" t="s">
        <v>476</v>
      </c>
      <c r="B157" s="831" t="s">
        <v>477</v>
      </c>
      <c r="C157" s="866">
        <v>378.1</v>
      </c>
      <c r="D157" s="831" t="s">
        <v>478</v>
      </c>
      <c r="E157" s="831" t="s">
        <v>479</v>
      </c>
      <c r="F157" s="135">
        <v>1.74</v>
      </c>
      <c r="G157" s="135" t="s">
        <v>30</v>
      </c>
      <c r="H157" s="135" t="s">
        <v>33</v>
      </c>
      <c r="I157" s="201" t="s">
        <v>31</v>
      </c>
      <c r="J157" s="135">
        <f>VLOOKUP(I157,References!$B$7:$F$252,5,FALSE)</f>
        <v>36</v>
      </c>
      <c r="K157" s="135">
        <v>48.5</v>
      </c>
      <c r="L157" s="135" t="s">
        <v>30</v>
      </c>
      <c r="M157" s="201" t="s">
        <v>31</v>
      </c>
      <c r="N157" s="135">
        <f>VLOOKUP(M157,References!$B$7:$F$252,5,FALSE)</f>
        <v>36</v>
      </c>
      <c r="O157" s="135" t="s">
        <v>480</v>
      </c>
      <c r="P157" s="135" t="s">
        <v>30</v>
      </c>
      <c r="Q157" s="201" t="s">
        <v>31</v>
      </c>
      <c r="R157" s="99">
        <f>VLOOKUP(Q157,References!$B$7:$F$252,5,FALSE)</f>
        <v>36</v>
      </c>
      <c r="S157" s="3"/>
    </row>
    <row r="158" spans="1:19" ht="18.75" customHeight="1" thickBot="1" x14ac:dyDescent="0.25">
      <c r="A158" s="840"/>
      <c r="B158" s="834"/>
      <c r="C158" s="842"/>
      <c r="D158" s="834"/>
      <c r="E158" s="834"/>
      <c r="F158" s="59"/>
      <c r="G158" s="59"/>
      <c r="H158" s="59"/>
      <c r="I158" s="37"/>
      <c r="J158" s="59"/>
      <c r="K158" s="59"/>
      <c r="L158" s="59"/>
      <c r="M158" s="37"/>
      <c r="N158" s="59"/>
      <c r="O158" s="59">
        <v>183.3</v>
      </c>
      <c r="P158" s="59" t="s">
        <v>27</v>
      </c>
      <c r="Q158" s="37" t="s">
        <v>436</v>
      </c>
      <c r="R158" s="122">
        <f>VLOOKUP(Q158,References!$B$7:$F$252,5,FALSE)</f>
        <v>32</v>
      </c>
      <c r="S158" s="3"/>
    </row>
    <row r="159" spans="1:19" ht="16" thickBot="1" x14ac:dyDescent="0.25">
      <c r="A159" s="237" t="s">
        <v>481</v>
      </c>
      <c r="B159" s="129"/>
      <c r="C159" s="82"/>
      <c r="D159" s="79"/>
      <c r="E159" s="79"/>
      <c r="F159" s="79"/>
      <c r="G159" s="79"/>
      <c r="H159" s="79"/>
      <c r="I159" s="128"/>
      <c r="J159" s="79"/>
      <c r="K159" s="79"/>
      <c r="L159" s="79"/>
      <c r="M159" s="128"/>
      <c r="N159" s="79"/>
      <c r="O159" s="79"/>
      <c r="P159" s="79"/>
      <c r="Q159" s="128"/>
      <c r="R159" s="80"/>
      <c r="S159" s="3"/>
    </row>
    <row r="160" spans="1:19" ht="18.75" customHeight="1" x14ac:dyDescent="0.2">
      <c r="A160" s="830" t="s">
        <v>482</v>
      </c>
      <c r="B160" s="832" t="s">
        <v>483</v>
      </c>
      <c r="C160" s="841">
        <v>281.10000000000002</v>
      </c>
      <c r="D160" s="832" t="s">
        <v>1613</v>
      </c>
      <c r="E160" s="832" t="s">
        <v>484</v>
      </c>
      <c r="F160" s="58">
        <v>1.94</v>
      </c>
      <c r="G160" s="58" t="s">
        <v>30</v>
      </c>
      <c r="H160" s="58" t="s">
        <v>33</v>
      </c>
      <c r="I160" s="30" t="s">
        <v>31</v>
      </c>
      <c r="J160" s="58">
        <f>VLOOKUP(I160,References!$B$7:$F$252,5,FALSE)</f>
        <v>36</v>
      </c>
      <c r="K160" s="58">
        <v>51.5</v>
      </c>
      <c r="L160" s="58" t="s">
        <v>27</v>
      </c>
      <c r="M160" s="30" t="s">
        <v>31</v>
      </c>
      <c r="N160" s="58">
        <f>VLOOKUP(M160,References!$B$7:$F$252,5,FALSE)</f>
        <v>36</v>
      </c>
      <c r="O160" s="58">
        <v>90.5</v>
      </c>
      <c r="P160" s="58" t="s">
        <v>27</v>
      </c>
      <c r="Q160" s="30" t="s">
        <v>31</v>
      </c>
      <c r="R160" s="100">
        <f>VLOOKUP(Q160,References!$B$7:$F$252,5,FALSE)</f>
        <v>36</v>
      </c>
      <c r="S160" s="3"/>
    </row>
    <row r="161" spans="1:19" ht="18.75" customHeight="1" thickBot="1" x14ac:dyDescent="0.25">
      <c r="A161" s="844"/>
      <c r="B161" s="845"/>
      <c r="C161" s="846"/>
      <c r="D161" s="845"/>
      <c r="E161" s="845"/>
      <c r="F161" s="138"/>
      <c r="G161" s="138"/>
      <c r="H161" s="138"/>
      <c r="I161" s="210"/>
      <c r="J161" s="138"/>
      <c r="K161" s="138" t="s">
        <v>485</v>
      </c>
      <c r="L161" s="138" t="s">
        <v>30</v>
      </c>
      <c r="M161" s="210" t="s">
        <v>31</v>
      </c>
      <c r="N161" s="138">
        <f>VLOOKUP(M161,References!$B$7:$F$252,5,FALSE)</f>
        <v>36</v>
      </c>
      <c r="O161" s="138" t="s">
        <v>486</v>
      </c>
      <c r="P161" s="138" t="s">
        <v>30</v>
      </c>
      <c r="Q161" s="210" t="s">
        <v>31</v>
      </c>
      <c r="R161" s="101">
        <f>VLOOKUP(Q161,References!$B$7:$F$252,5,FALSE)</f>
        <v>36</v>
      </c>
      <c r="S161" s="3"/>
    </row>
    <row r="162" spans="1:19" ht="18.75" customHeight="1" x14ac:dyDescent="0.2">
      <c r="A162" s="416"/>
      <c r="B162" s="147"/>
      <c r="C162" s="145"/>
      <c r="D162" s="58"/>
      <c r="E162" s="58"/>
      <c r="F162" s="58"/>
      <c r="G162" s="58"/>
      <c r="H162" s="58"/>
      <c r="I162" s="30"/>
      <c r="J162" s="58"/>
      <c r="K162" s="58"/>
      <c r="L162" s="58"/>
      <c r="M162" s="30"/>
      <c r="N162" s="58"/>
      <c r="O162" s="58"/>
      <c r="P162" s="58"/>
      <c r="Q162" s="30"/>
      <c r="R162" s="58"/>
      <c r="S162" s="3"/>
    </row>
    <row r="163" spans="1:19" ht="16" x14ac:dyDescent="0.2">
      <c r="A163" s="66" t="s">
        <v>487</v>
      </c>
    </row>
    <row r="164" spans="1:19" ht="46.25" customHeight="1" x14ac:dyDescent="0.2">
      <c r="A164" s="864" t="s">
        <v>488</v>
      </c>
      <c r="B164" s="864"/>
      <c r="C164" s="864"/>
      <c r="D164" s="864"/>
      <c r="E164" s="864"/>
      <c r="F164" s="864"/>
      <c r="G164" s="864"/>
      <c r="H164" s="864"/>
      <c r="I164" s="864"/>
      <c r="J164" s="2"/>
      <c r="K164" s="2"/>
      <c r="L164" s="2"/>
      <c r="M164" s="2"/>
      <c r="N164" s="2"/>
      <c r="O164" s="2"/>
      <c r="P164" s="2"/>
      <c r="Q164" s="2"/>
    </row>
    <row r="165" spans="1:19" x14ac:dyDescent="0.2">
      <c r="A165" s="2" t="s">
        <v>489</v>
      </c>
    </row>
    <row r="166" spans="1:19" x14ac:dyDescent="0.2">
      <c r="A166" s="2" t="s">
        <v>490</v>
      </c>
    </row>
    <row r="167" spans="1:19" ht="16" x14ac:dyDescent="0.2">
      <c r="A167" s="66" t="s">
        <v>491</v>
      </c>
    </row>
    <row r="168" spans="1:19" ht="16" x14ac:dyDescent="0.2">
      <c r="A168" s="66" t="s">
        <v>492</v>
      </c>
    </row>
    <row r="169" spans="1:19" ht="16" x14ac:dyDescent="0.2">
      <c r="A169" s="66" t="s">
        <v>493</v>
      </c>
      <c r="O169" s="221"/>
      <c r="P169" s="221"/>
      <c r="Q169" s="27"/>
      <c r="R169" s="221"/>
    </row>
    <row r="170" spans="1:19" ht="16" x14ac:dyDescent="0.2">
      <c r="A170" s="66" t="s">
        <v>494</v>
      </c>
    </row>
  </sheetData>
  <sheetProtection algorithmName="SHA-512" hashValue="bujF+tcCUNKHXeCZHMvZohWJNgS1XUVUUKB+XUBqBxvu8fVcqWmYpxRoqiQKFyLtQRQyBUo+SbCZ5KBsVhLt4w==" saltValue="C5smeb8ExrUP0F01Bcpwrg==" spinCount="100000" sheet="1" objects="1" scenarios="1"/>
  <autoFilter ref="A7:R157" xr:uid="{7DE17642-7116-4910-8F3D-F8C9D7B720AD}"/>
  <mergeCells count="190">
    <mergeCell ref="A17:A18"/>
    <mergeCell ref="B17:B18"/>
    <mergeCell ref="C17:C18"/>
    <mergeCell ref="D17:D18"/>
    <mergeCell ref="E17:E18"/>
    <mergeCell ref="A19:A23"/>
    <mergeCell ref="B19:B23"/>
    <mergeCell ref="C19:C23"/>
    <mergeCell ref="C50:C52"/>
    <mergeCell ref="A45:A49"/>
    <mergeCell ref="B45:B49"/>
    <mergeCell ref="C45:C49"/>
    <mergeCell ref="C30:C35"/>
    <mergeCell ref="C40:C44"/>
    <mergeCell ref="E30:E35"/>
    <mergeCell ref="A30:A35"/>
    <mergeCell ref="B30:B35"/>
    <mergeCell ref="D30:D35"/>
    <mergeCell ref="D19:D23"/>
    <mergeCell ref="E19:E23"/>
    <mergeCell ref="A24:A29"/>
    <mergeCell ref="B24:B29"/>
    <mergeCell ref="C24:C29"/>
    <mergeCell ref="D24:D29"/>
    <mergeCell ref="A164:I164"/>
    <mergeCell ref="A157:A158"/>
    <mergeCell ref="B157:B158"/>
    <mergeCell ref="C157:C158"/>
    <mergeCell ref="D157:D158"/>
    <mergeCell ref="E157:E158"/>
    <mergeCell ref="E145:E147"/>
    <mergeCell ref="A53:A55"/>
    <mergeCell ref="B53:B55"/>
    <mergeCell ref="D53:D55"/>
    <mergeCell ref="E53:E55"/>
    <mergeCell ref="C53:C55"/>
    <mergeCell ref="A68:A70"/>
    <mergeCell ref="B68:B70"/>
    <mergeCell ref="D68:D70"/>
    <mergeCell ref="E68:E70"/>
    <mergeCell ref="A71:A73"/>
    <mergeCell ref="B71:B73"/>
    <mergeCell ref="C106:C107"/>
    <mergeCell ref="E106:E107"/>
    <mergeCell ref="E65:E67"/>
    <mergeCell ref="C56:C58"/>
    <mergeCell ref="C65:C67"/>
    <mergeCell ref="C68:C70"/>
    <mergeCell ref="A2:R2"/>
    <mergeCell ref="A14:A16"/>
    <mergeCell ref="B14:B16"/>
    <mergeCell ref="D14:D16"/>
    <mergeCell ref="E14:E16"/>
    <mergeCell ref="C14:C16"/>
    <mergeCell ref="A6:A7"/>
    <mergeCell ref="B6:B7"/>
    <mergeCell ref="C6:C7"/>
    <mergeCell ref="D6:D7"/>
    <mergeCell ref="E6:E7"/>
    <mergeCell ref="O6:R6"/>
    <mergeCell ref="F6:J6"/>
    <mergeCell ref="K6:N6"/>
    <mergeCell ref="A9:A11"/>
    <mergeCell ref="D9:D11"/>
    <mergeCell ref="C9:C11"/>
    <mergeCell ref="E9:E11"/>
    <mergeCell ref="B9:B11"/>
    <mergeCell ref="A12:A13"/>
    <mergeCell ref="B12:B13"/>
    <mergeCell ref="C12:C13"/>
    <mergeCell ref="D12:D13"/>
    <mergeCell ref="E12:E13"/>
    <mergeCell ref="C71:C73"/>
    <mergeCell ref="A85:A86"/>
    <mergeCell ref="B85:B86"/>
    <mergeCell ref="D85:D86"/>
    <mergeCell ref="E85:E86"/>
    <mergeCell ref="D71:D73"/>
    <mergeCell ref="E71:E73"/>
    <mergeCell ref="A56:A58"/>
    <mergeCell ref="B56:B58"/>
    <mergeCell ref="D56:D58"/>
    <mergeCell ref="E56:E58"/>
    <mergeCell ref="A60:A62"/>
    <mergeCell ref="B60:B62"/>
    <mergeCell ref="C60:C62"/>
    <mergeCell ref="D60:D62"/>
    <mergeCell ref="E60:E62"/>
    <mergeCell ref="A65:A67"/>
    <mergeCell ref="B65:B67"/>
    <mergeCell ref="D65:D67"/>
    <mergeCell ref="A153:A154"/>
    <mergeCell ref="B153:B154"/>
    <mergeCell ref="D153:D154"/>
    <mergeCell ref="E153:E154"/>
    <mergeCell ref="C142:C144"/>
    <mergeCell ref="C153:C154"/>
    <mergeCell ref="A133:A136"/>
    <mergeCell ref="B133:B136"/>
    <mergeCell ref="D133:D136"/>
    <mergeCell ref="E133:E136"/>
    <mergeCell ref="C133:C136"/>
    <mergeCell ref="A142:A144"/>
    <mergeCell ref="B142:B144"/>
    <mergeCell ref="D142:D144"/>
    <mergeCell ref="E142:E144"/>
    <mergeCell ref="B137:B139"/>
    <mergeCell ref="A137:A139"/>
    <mergeCell ref="C137:C139"/>
    <mergeCell ref="D137:D139"/>
    <mergeCell ref="E137:E139"/>
    <mergeCell ref="A145:A147"/>
    <mergeCell ref="D145:D147"/>
    <mergeCell ref="B145:B147"/>
    <mergeCell ref="C145:C147"/>
    <mergeCell ref="D103:D105"/>
    <mergeCell ref="E103:E105"/>
    <mergeCell ref="D108:D111"/>
    <mergeCell ref="E108:E111"/>
    <mergeCell ref="C103:C105"/>
    <mergeCell ref="C108:C111"/>
    <mergeCell ref="C117:C119"/>
    <mergeCell ref="C120:C121"/>
    <mergeCell ref="A117:A119"/>
    <mergeCell ref="B117:B119"/>
    <mergeCell ref="D117:D119"/>
    <mergeCell ref="E117:E119"/>
    <mergeCell ref="A120:A121"/>
    <mergeCell ref="A108:A111"/>
    <mergeCell ref="B108:B111"/>
    <mergeCell ref="A106:A107"/>
    <mergeCell ref="B106:B107"/>
    <mergeCell ref="E24:E29"/>
    <mergeCell ref="A36:A39"/>
    <mergeCell ref="B36:B39"/>
    <mergeCell ref="C36:C39"/>
    <mergeCell ref="D36:D39"/>
    <mergeCell ref="E36:E39"/>
    <mergeCell ref="A40:A44"/>
    <mergeCell ref="B40:B44"/>
    <mergeCell ref="D40:D44"/>
    <mergeCell ref="E40:E44"/>
    <mergeCell ref="A160:A161"/>
    <mergeCell ref="B160:B161"/>
    <mergeCell ref="C160:C161"/>
    <mergeCell ref="D160:D161"/>
    <mergeCell ref="E160:E161"/>
    <mergeCell ref="D106:D107"/>
    <mergeCell ref="D101:D102"/>
    <mergeCell ref="D99:D100"/>
    <mergeCell ref="A99:A100"/>
    <mergeCell ref="B99:B100"/>
    <mergeCell ref="C99:C100"/>
    <mergeCell ref="E99:E100"/>
    <mergeCell ref="A101:A102"/>
    <mergeCell ref="B101:B102"/>
    <mergeCell ref="C101:C102"/>
    <mergeCell ref="E101:E102"/>
    <mergeCell ref="D130:D132"/>
    <mergeCell ref="E130:E132"/>
    <mergeCell ref="A130:A132"/>
    <mergeCell ref="B130:B132"/>
    <mergeCell ref="B120:B121"/>
    <mergeCell ref="D120:D121"/>
    <mergeCell ref="E120:E121"/>
    <mergeCell ref="A103:A105"/>
    <mergeCell ref="A127:A129"/>
    <mergeCell ref="B127:B129"/>
    <mergeCell ref="D127:D129"/>
    <mergeCell ref="E127:E129"/>
    <mergeCell ref="C127:C129"/>
    <mergeCell ref="C130:C132"/>
    <mergeCell ref="D45:D49"/>
    <mergeCell ref="E45:E49"/>
    <mergeCell ref="A50:A52"/>
    <mergeCell ref="B50:B52"/>
    <mergeCell ref="D50:D52"/>
    <mergeCell ref="E50:E52"/>
    <mergeCell ref="A87:A88"/>
    <mergeCell ref="B87:B88"/>
    <mergeCell ref="D87:D88"/>
    <mergeCell ref="E87:E88"/>
    <mergeCell ref="A75:A77"/>
    <mergeCell ref="B75:B77"/>
    <mergeCell ref="D75:D77"/>
    <mergeCell ref="E75:E77"/>
    <mergeCell ref="C75:C77"/>
    <mergeCell ref="C85:C86"/>
    <mergeCell ref="C87:C88"/>
    <mergeCell ref="B103:B105"/>
  </mergeCells>
  <pageMargins left="0.7" right="0.7" top="0.75" bottom="0.75" header="0.3" footer="0.3"/>
  <pageSetup scale="20" orientation="portrait" r:id="rId1"/>
  <extLst>
    <ext xmlns:x14="http://schemas.microsoft.com/office/spreadsheetml/2009/9/main" uri="{78C0D931-6437-407d-A8EE-F0AAD7539E65}">
      <x14:conditionalFormattings>
        <x14:conditionalFormatting xmlns:xm="http://schemas.microsoft.com/office/excel/2006/main">
          <x14:cfRule type="expression" priority="28" id="{30E5678D-ADCD-4FB5-B0E1-9E2866388BA1}">
            <xm:f>(VLOOKUP(I9,References!$B$8:$C$252,2,FALSE)="Secondary")</xm:f>
            <x14:dxf>
              <font>
                <strike val="0"/>
              </font>
              <fill>
                <patternFill>
                  <bgColor rgb="FFFFC000"/>
                </patternFill>
              </fill>
            </x14:dxf>
          </x14:cfRule>
          <xm:sqref>J9:J34 R9:R54 N17:N58 J45 J50 J53:J54 J56:J57 J71:J76 R87 N94:N97 R94:R97 J99:J104 R103:R104 J106:J110 R106:R113 J120 J123:J125 N123:N125 R123:R125 J127:J128 N127:N131 R127:R139 J130 J133 N133:N139 J137 J141:J150 R152:R153 J152:J155 N152:N155 R155 J157:J158 N157:N158 R157:R158 J160:J161 N160:N161 R160:R161</xm:sqref>
        </x14:conditionalFormatting>
        <x14:conditionalFormatting xmlns:xm="http://schemas.microsoft.com/office/excel/2006/main">
          <x14:cfRule type="expression" priority="41" id="{324FFC56-7BB9-4FEB-9D77-BBA748C8B214}">
            <xm:f>(VLOOKUP(I36,References!$B$8:$C$252,2,FALSE)="Secondary")</xm:f>
            <x14:dxf>
              <font>
                <strike val="0"/>
              </font>
              <fill>
                <patternFill>
                  <bgColor rgb="FFFFC000"/>
                </patternFill>
              </fill>
            </x14:dxf>
          </x14:cfRule>
          <xm:sqref>J36:J38</xm:sqref>
        </x14:conditionalFormatting>
        <x14:conditionalFormatting xmlns:xm="http://schemas.microsoft.com/office/excel/2006/main">
          <x14:cfRule type="expression" priority="42" id="{3950E3E0-F16B-499C-876C-FA44958B4754}">
            <xm:f>(VLOOKUP(I40,References!$B$8:$C$252,2,FALSE)="Secondary")</xm:f>
            <x14:dxf>
              <font>
                <strike val="0"/>
              </font>
              <fill>
                <patternFill>
                  <bgColor rgb="FFFFC000"/>
                </patternFill>
              </fill>
            </x14:dxf>
          </x14:cfRule>
          <xm:sqref>J40:J43</xm:sqref>
        </x14:conditionalFormatting>
        <x14:conditionalFormatting xmlns:xm="http://schemas.microsoft.com/office/excel/2006/main">
          <x14:cfRule type="expression" priority="21" id="{7FABD5EF-E913-445D-B892-68DD3529D591}">
            <xm:f>(VLOOKUP(I60,References!$B$8:$C$252,2,FALSE)="Secondary")</xm:f>
            <x14:dxf>
              <font>
                <strike val="0"/>
              </font>
              <fill>
                <patternFill>
                  <bgColor rgb="FFFFC000"/>
                </patternFill>
              </fill>
            </x14:dxf>
          </x14:cfRule>
          <xm:sqref>J60:J69</xm:sqref>
        </x14:conditionalFormatting>
        <x14:conditionalFormatting xmlns:xm="http://schemas.microsoft.com/office/excel/2006/main">
          <x14:cfRule type="expression" priority="9" id="{E8016B47-115F-430D-9EC8-1B853C38F01C}">
            <xm:f>(VLOOKUP(I78,References!$B$8:$C$252,2,FALSE)="Secondary")</xm:f>
            <x14:dxf>
              <font>
                <strike val="0"/>
              </font>
              <fill>
                <patternFill>
                  <bgColor rgb="FFFFC000"/>
                </patternFill>
              </fill>
            </x14:dxf>
          </x14:cfRule>
          <xm:sqref>J78:J80</xm:sqref>
        </x14:conditionalFormatting>
        <x14:conditionalFormatting xmlns:xm="http://schemas.microsoft.com/office/excel/2006/main">
          <x14:cfRule type="expression" priority="12" id="{2B35340D-F5DD-4C8F-8C18-432DA3628389}">
            <xm:f>(VLOOKUP(I82,References!$B$8:$C$252,2,FALSE)="Secondary")</xm:f>
            <x14:dxf>
              <font>
                <strike val="0"/>
              </font>
              <fill>
                <patternFill>
                  <bgColor rgb="FFFFC000"/>
                </patternFill>
              </fill>
            </x14:dxf>
          </x14:cfRule>
          <xm:sqref>J82:J85</xm:sqref>
        </x14:conditionalFormatting>
        <x14:conditionalFormatting xmlns:xm="http://schemas.microsoft.com/office/excel/2006/main">
          <x14:cfRule type="expression" priority="15" id="{820DFAA7-801B-4F23-B0C0-76A2C3184C19}">
            <xm:f>(VLOOKUP(I87,References!$B$8:$C$252,2,FALSE)="Secondary")</xm:f>
            <x14:dxf>
              <font>
                <strike val="0"/>
              </font>
              <fill>
                <patternFill>
                  <bgColor rgb="FFFFC000"/>
                </patternFill>
              </fill>
            </x14:dxf>
          </x14:cfRule>
          <xm:sqref>J87:J92</xm:sqref>
        </x14:conditionalFormatting>
        <x14:conditionalFormatting xmlns:xm="http://schemas.microsoft.com/office/excel/2006/main">
          <x14:cfRule type="expression" priority="52" id="{A019AAC2-8F4B-45DD-86FF-414922166172}">
            <xm:f>(VLOOKUP(I94,References!$B$8:$C$252,2,FALSE)="Secondary")</xm:f>
            <x14:dxf>
              <font>
                <strike val="0"/>
              </font>
              <fill>
                <patternFill>
                  <bgColor rgb="FFFFC000"/>
                </patternFill>
              </fill>
            </x14:dxf>
          </x14:cfRule>
          <xm:sqref>J94:J97</xm:sqref>
        </x14:conditionalFormatting>
        <x14:conditionalFormatting xmlns:xm="http://schemas.microsoft.com/office/excel/2006/main">
          <x14:cfRule type="expression" priority="32" id="{0D28A65E-8217-4711-8F16-567F92175EB7}">
            <xm:f>(VLOOKUP(I112,References!$B$8:$C$252,2,FALSE)="Secondary")</xm:f>
            <x14:dxf>
              <font>
                <strike val="0"/>
              </font>
              <fill>
                <patternFill>
                  <bgColor rgb="FFFFC000"/>
                </patternFill>
              </fill>
            </x14:dxf>
          </x14:cfRule>
          <xm:sqref>J112:J113</xm:sqref>
        </x14:conditionalFormatting>
        <x14:conditionalFormatting xmlns:xm="http://schemas.microsoft.com/office/excel/2006/main">
          <x14:cfRule type="expression" priority="3" id="{0794E858-9633-4700-B8AE-9D5F5511EE14}">
            <xm:f>(VLOOKUP(I115,References!$B$8:$C$252,2,FALSE)="Secondary")</xm:f>
            <x14:dxf>
              <font>
                <strike val="0"/>
              </font>
              <fill>
                <patternFill>
                  <bgColor rgb="FFFFC000"/>
                </patternFill>
              </fill>
            </x14:dxf>
          </x14:cfRule>
          <xm:sqref>J115:J118</xm:sqref>
        </x14:conditionalFormatting>
        <x14:conditionalFormatting xmlns:xm="http://schemas.microsoft.com/office/excel/2006/main">
          <x14:cfRule type="expression" priority="23" id="{44FDBA21-2DC2-4921-A800-C6C220B23A4C}">
            <xm:f>(VLOOKUP(M9,References!$B$8:$C$252,2,FALSE)="Secondary")</xm:f>
            <x14:dxf>
              <font>
                <strike val="0"/>
              </font>
              <fill>
                <patternFill>
                  <bgColor rgb="FFFFC000"/>
                </patternFill>
              </fill>
            </x14:dxf>
          </x14:cfRule>
          <xm:sqref>N9:N15</xm:sqref>
        </x14:conditionalFormatting>
        <x14:conditionalFormatting xmlns:xm="http://schemas.microsoft.com/office/excel/2006/main">
          <x14:cfRule type="expression" priority="4" id="{11D2997B-509A-4A83-8952-5E20781C9F54}">
            <xm:f>(VLOOKUP(M60,References!$B$8:$C$252,2,FALSE)="Secondary")</xm:f>
            <x14:dxf>
              <font>
                <strike val="0"/>
              </font>
              <fill>
                <patternFill>
                  <bgColor rgb="FFFFC000"/>
                </patternFill>
              </fill>
            </x14:dxf>
          </x14:cfRule>
          <xm:sqref>N60:N69</xm:sqref>
        </x14:conditionalFormatting>
        <x14:conditionalFormatting xmlns:xm="http://schemas.microsoft.com/office/excel/2006/main">
          <x14:cfRule type="expression" priority="8" id="{2E9E7FBA-4C28-4C2E-BDC2-5B525D4BA008}">
            <xm:f>(VLOOKUP(M71,References!$B$8:$C$252,2,FALSE)="Secondary")</xm:f>
            <x14:dxf>
              <font>
                <strike val="0"/>
              </font>
              <fill>
                <patternFill>
                  <bgColor rgb="FFFFC000"/>
                </patternFill>
              </fill>
            </x14:dxf>
          </x14:cfRule>
          <xm:sqref>N71:N80</xm:sqref>
        </x14:conditionalFormatting>
        <x14:conditionalFormatting xmlns:xm="http://schemas.microsoft.com/office/excel/2006/main">
          <x14:cfRule type="expression" priority="11" id="{85CF6527-5204-4CEC-8582-89FBF072D6EF}">
            <xm:f>(VLOOKUP(M82,References!$B$8:$C$252,2,FALSE)="Secondary")</xm:f>
            <x14:dxf>
              <font>
                <strike val="0"/>
              </font>
              <fill>
                <patternFill>
                  <bgColor rgb="FFFFC000"/>
                </patternFill>
              </fill>
            </x14:dxf>
          </x14:cfRule>
          <xm:sqref>N82:N92</xm:sqref>
        </x14:conditionalFormatting>
        <x14:conditionalFormatting xmlns:xm="http://schemas.microsoft.com/office/excel/2006/main">
          <x14:cfRule type="expression" priority="31" id="{274D0D17-4817-4AC1-BC38-7938851750CD}">
            <xm:f>(VLOOKUP(M99,References!$B$8:$C$252,2,FALSE)="Secondary")</xm:f>
            <x14:dxf>
              <font>
                <strike val="0"/>
              </font>
              <fill>
                <patternFill>
                  <bgColor rgb="FFFFC000"/>
                </patternFill>
              </fill>
            </x14:dxf>
          </x14:cfRule>
          <xm:sqref>N99:N113</xm:sqref>
        </x14:conditionalFormatting>
        <x14:conditionalFormatting xmlns:xm="http://schemas.microsoft.com/office/excel/2006/main">
          <x14:cfRule type="expression" priority="2" id="{D1BC1B63-BAAA-4F74-B6E7-9882BBE0106E}">
            <xm:f>(VLOOKUP(M115,References!$B$8:$C$252,2,FALSE)="Secondary")</xm:f>
            <x14:dxf>
              <font>
                <strike val="0"/>
              </font>
              <fill>
                <patternFill>
                  <bgColor rgb="FFFFC000"/>
                </patternFill>
              </fill>
            </x14:dxf>
          </x14:cfRule>
          <xm:sqref>N115:N121</xm:sqref>
        </x14:conditionalFormatting>
        <x14:conditionalFormatting xmlns:xm="http://schemas.microsoft.com/office/excel/2006/main">
          <x14:cfRule type="expression" priority="30" id="{B1AA79F3-60EE-4BB2-AEF6-44168DE0DA35}">
            <xm:f>(VLOOKUP(M141,References!$B$8:$C$252,2,FALSE)="Secondary")</xm:f>
            <x14:dxf>
              <font>
                <strike val="0"/>
              </font>
              <fill>
                <patternFill>
                  <bgColor rgb="FFFFC000"/>
                </patternFill>
              </fill>
            </x14:dxf>
          </x14:cfRule>
          <xm:sqref>N141:N150</xm:sqref>
        </x14:conditionalFormatting>
        <x14:conditionalFormatting xmlns:xm="http://schemas.microsoft.com/office/excel/2006/main">
          <x14:cfRule type="expression" priority="5" id="{541030D8-FC87-4389-913F-36D54E004116}">
            <xm:f>(VLOOKUP(Q56,References!$B$8:$C$252,2,FALSE)="Secondary")</xm:f>
            <x14:dxf>
              <font>
                <strike val="0"/>
              </font>
              <fill>
                <patternFill>
                  <bgColor rgb="FFFFC000"/>
                </patternFill>
              </fill>
            </x14:dxf>
          </x14:cfRule>
          <xm:sqref>R56:R58</xm:sqref>
        </x14:conditionalFormatting>
        <x14:conditionalFormatting xmlns:xm="http://schemas.microsoft.com/office/excel/2006/main">
          <x14:cfRule type="expression" priority="7" id="{6A3BE5E8-6DAC-458B-AE77-57A466754C89}">
            <xm:f>(VLOOKUP(Q60,References!$B$8:$C$252,2,FALSE)="Secondary")</xm:f>
            <x14:dxf>
              <font>
                <strike val="0"/>
              </font>
              <fill>
                <patternFill>
                  <bgColor rgb="FFFFC000"/>
                </patternFill>
              </fill>
            </x14:dxf>
          </x14:cfRule>
          <xm:sqref>R60:R80</xm:sqref>
        </x14:conditionalFormatting>
        <x14:conditionalFormatting xmlns:xm="http://schemas.microsoft.com/office/excel/2006/main">
          <x14:cfRule type="expression" priority="10" id="{1BB4841A-11F7-486A-8A61-3524AA1EA6E1}">
            <xm:f>(VLOOKUP(Q82,References!$B$8:$C$252,2,FALSE)="Secondary")</xm:f>
            <x14:dxf>
              <font>
                <strike val="0"/>
              </font>
              <fill>
                <patternFill>
                  <bgColor rgb="FFFFC000"/>
                </patternFill>
              </fill>
            </x14:dxf>
          </x14:cfRule>
          <xm:sqref>R82:R85</xm:sqref>
        </x14:conditionalFormatting>
        <x14:conditionalFormatting xmlns:xm="http://schemas.microsoft.com/office/excel/2006/main">
          <x14:cfRule type="expression" priority="13" id="{ECBA6861-BD41-46A9-AD93-973041C77FFB}">
            <xm:f>(VLOOKUP(Q89,References!$B$8:$C$252,2,FALSE)="Secondary")</xm:f>
            <x14:dxf>
              <font>
                <strike val="0"/>
              </font>
              <fill>
                <patternFill>
                  <bgColor rgb="FFFFC000"/>
                </patternFill>
              </fill>
            </x14:dxf>
          </x14:cfRule>
          <xm:sqref>R89:R92</xm:sqref>
        </x14:conditionalFormatting>
        <x14:conditionalFormatting xmlns:xm="http://schemas.microsoft.com/office/excel/2006/main">
          <x14:cfRule type="expression" priority="36" id="{AE325EB6-67A1-40DF-8F5F-E24DB6F78FAE}">
            <xm:f>(VLOOKUP(Q99,References!$B$8:$C$252,2,FALSE)="Secondary")</xm:f>
            <x14:dxf>
              <font>
                <strike val="0"/>
              </font>
              <fill>
                <patternFill>
                  <bgColor rgb="FFFFC000"/>
                </patternFill>
              </fill>
            </x14:dxf>
          </x14:cfRule>
          <xm:sqref>R99</xm:sqref>
        </x14:conditionalFormatting>
        <x14:conditionalFormatting xmlns:xm="http://schemas.microsoft.com/office/excel/2006/main">
          <x14:cfRule type="expression" priority="35" id="{8A83635D-B3A4-46FC-934D-60B1D5D9B3B4}">
            <xm:f>(VLOOKUP(Q101,References!$B$8:$C$252,2,FALSE)="Secondary")</xm:f>
            <x14:dxf>
              <font>
                <strike val="0"/>
              </font>
              <fill>
                <patternFill>
                  <bgColor rgb="FFFFC000"/>
                </patternFill>
              </fill>
            </x14:dxf>
          </x14:cfRule>
          <xm:sqref>R101</xm:sqref>
        </x14:conditionalFormatting>
        <x14:conditionalFormatting xmlns:xm="http://schemas.microsoft.com/office/excel/2006/main">
          <x14:cfRule type="expression" priority="1" id="{DD04080A-45A6-4C06-A5A9-5BB5DEFB5307}">
            <xm:f>(VLOOKUP(Q115,References!$B$8:$C$252,2,FALSE)="Secondary")</xm:f>
            <x14:dxf>
              <font>
                <strike val="0"/>
              </font>
              <fill>
                <patternFill>
                  <bgColor rgb="FFFFC000"/>
                </patternFill>
              </fill>
            </x14:dxf>
          </x14:cfRule>
          <xm:sqref>R115:R120</xm:sqref>
        </x14:conditionalFormatting>
        <x14:conditionalFormatting xmlns:xm="http://schemas.microsoft.com/office/excel/2006/main">
          <x14:cfRule type="expression" priority="29" id="{5DDB15FB-F5B4-423B-AA73-0F848D02B76B}">
            <xm:f>(VLOOKUP(Q141,References!$B$8:$C$252,2,FALSE)="Secondary")</xm:f>
            <x14:dxf>
              <font>
                <strike val="0"/>
              </font>
              <fill>
                <patternFill>
                  <bgColor rgb="FFFFC000"/>
                </patternFill>
              </fill>
            </x14:dxf>
          </x14:cfRule>
          <xm:sqref>R141:R150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D8E05-614F-4FCF-A7C5-28BA81D7267A}">
  <sheetPr codeName="Sheet2">
    <tabColor rgb="FF92D050"/>
    <pageSetUpPr fitToPage="1"/>
  </sheetPr>
  <dimension ref="A1:Z377"/>
  <sheetViews>
    <sheetView tabSelected="1" zoomScaleNormal="100" workbookViewId="0">
      <pane ySplit="7" topLeftCell="A8" activePane="bottomLeft" state="frozen"/>
      <selection pane="bottomLeft" activeCell="M4" sqref="M4"/>
    </sheetView>
  </sheetViews>
  <sheetFormatPr baseColWidth="10" defaultColWidth="13.1640625" defaultRowHeight="16" x14ac:dyDescent="0.2"/>
  <cols>
    <col min="1" max="1" width="43.6640625" customWidth="1"/>
    <col min="2" max="2" width="13.1640625" style="62"/>
    <col min="3" max="3" width="15.6640625" style="62" customWidth="1"/>
    <col min="4" max="4" width="13.1640625" style="62"/>
    <col min="5" max="7" width="13.1640625" style="62" hidden="1" customWidth="1"/>
    <col min="8" max="8" width="13.1640625" style="69"/>
    <col min="9" max="9" width="13.1640625" style="62"/>
    <col min="10" max="10" width="5.6640625" style="62" bestFit="1" customWidth="1"/>
    <col min="11" max="14" width="11.6640625" style="62" customWidth="1"/>
    <col min="15" max="15" width="6.6640625" style="62" bestFit="1" customWidth="1"/>
    <col min="16" max="16" width="30.1640625" hidden="1" customWidth="1"/>
  </cols>
  <sheetData>
    <row r="1" spans="1:20" ht="21" x14ac:dyDescent="0.25">
      <c r="A1" s="4" t="s">
        <v>6</v>
      </c>
      <c r="B1" s="5"/>
      <c r="C1" s="6"/>
      <c r="D1" s="6"/>
      <c r="E1" s="6"/>
      <c r="F1" s="6"/>
      <c r="G1" s="5"/>
      <c r="H1" s="116"/>
      <c r="I1" s="5"/>
      <c r="J1" s="5"/>
      <c r="K1" s="5"/>
      <c r="L1" s="5"/>
      <c r="M1" s="5"/>
      <c r="N1" s="8"/>
      <c r="O1"/>
      <c r="S1" s="5"/>
    </row>
    <row r="2" spans="1:20" ht="31.5" customHeight="1" x14ac:dyDescent="0.25">
      <c r="A2" s="855" t="s">
        <v>495</v>
      </c>
      <c r="B2" s="855"/>
      <c r="C2" s="855"/>
      <c r="D2" s="855"/>
      <c r="E2" s="855"/>
      <c r="F2" s="855"/>
      <c r="G2" s="855"/>
      <c r="H2" s="855"/>
      <c r="I2" s="855"/>
      <c r="J2" s="855"/>
      <c r="K2" s="855"/>
      <c r="L2" s="855"/>
      <c r="M2" s="855"/>
      <c r="N2" s="855"/>
      <c r="O2" s="855"/>
      <c r="P2" s="855"/>
      <c r="Q2" s="855"/>
      <c r="S2" s="61"/>
    </row>
    <row r="3" spans="1:20" x14ac:dyDescent="0.2">
      <c r="A3" s="13"/>
      <c r="B3" s="2"/>
      <c r="C3" s="2"/>
      <c r="D3" s="2"/>
      <c r="E3" s="2"/>
      <c r="F3" s="2"/>
      <c r="G3" s="3"/>
      <c r="H3" s="60"/>
      <c r="I3" s="3"/>
      <c r="J3" s="3"/>
      <c r="K3" s="3"/>
      <c r="L3" s="3"/>
      <c r="M3" s="3"/>
      <c r="N3" s="10"/>
      <c r="O3"/>
      <c r="S3" s="62"/>
    </row>
    <row r="4" spans="1:20" x14ac:dyDescent="0.2">
      <c r="A4" s="13"/>
      <c r="B4" s="2"/>
      <c r="C4" s="2"/>
      <c r="D4" s="2"/>
      <c r="E4" s="2"/>
      <c r="F4" s="2"/>
      <c r="G4" s="3"/>
      <c r="H4" s="60"/>
      <c r="I4" s="3"/>
      <c r="J4" s="3"/>
      <c r="K4" s="3"/>
      <c r="L4" s="3"/>
      <c r="M4" s="3"/>
      <c r="N4" s="10"/>
      <c r="O4"/>
      <c r="S4" s="62"/>
    </row>
    <row r="5" spans="1:20" ht="20" thickBot="1" x14ac:dyDescent="0.3">
      <c r="A5" s="113" t="s">
        <v>496</v>
      </c>
    </row>
    <row r="6" spans="1:20" s="70" customFormat="1" ht="19" x14ac:dyDescent="0.25">
      <c r="A6" s="870" t="s">
        <v>9</v>
      </c>
      <c r="B6" s="872" t="s">
        <v>10</v>
      </c>
      <c r="C6" s="872" t="s">
        <v>497</v>
      </c>
      <c r="D6" s="872" t="s">
        <v>13</v>
      </c>
      <c r="E6" s="858" t="s">
        <v>498</v>
      </c>
      <c r="F6" s="858" t="s">
        <v>499</v>
      </c>
      <c r="G6" s="858" t="s">
        <v>500</v>
      </c>
      <c r="H6" s="874" t="s">
        <v>501</v>
      </c>
      <c r="I6" s="872" t="s">
        <v>502</v>
      </c>
      <c r="J6" s="872" t="s">
        <v>492</v>
      </c>
      <c r="K6" s="876" t="s">
        <v>503</v>
      </c>
      <c r="L6" s="876"/>
      <c r="M6" s="876"/>
      <c r="N6" s="876"/>
      <c r="O6" s="872" t="s">
        <v>504</v>
      </c>
      <c r="P6" s="872" t="s">
        <v>505</v>
      </c>
      <c r="Q6" s="877" t="s">
        <v>506</v>
      </c>
    </row>
    <row r="7" spans="1:20" s="70" customFormat="1" ht="41" thickBot="1" x14ac:dyDescent="0.3">
      <c r="A7" s="871"/>
      <c r="B7" s="873"/>
      <c r="C7" s="873"/>
      <c r="D7" s="873"/>
      <c r="E7" s="859"/>
      <c r="F7" s="859"/>
      <c r="G7" s="859"/>
      <c r="H7" s="875"/>
      <c r="I7" s="873"/>
      <c r="J7" s="873"/>
      <c r="K7" s="283" t="s">
        <v>507</v>
      </c>
      <c r="L7" s="283" t="s">
        <v>508</v>
      </c>
      <c r="M7" s="283" t="s">
        <v>509</v>
      </c>
      <c r="N7" s="283" t="s">
        <v>510</v>
      </c>
      <c r="O7" s="873"/>
      <c r="P7" s="873"/>
      <c r="Q7" s="878"/>
    </row>
    <row r="8" spans="1:20" ht="17" thickBot="1" x14ac:dyDescent="0.25">
      <c r="A8" s="439" t="s">
        <v>22</v>
      </c>
      <c r="B8" s="440" t="s">
        <v>23</v>
      </c>
      <c r="C8" s="440"/>
      <c r="D8" s="440"/>
      <c r="E8" s="440"/>
      <c r="F8" s="440"/>
      <c r="G8" s="440"/>
      <c r="H8" s="440"/>
      <c r="I8" s="440"/>
      <c r="J8" s="440"/>
      <c r="K8" s="440"/>
      <c r="L8" s="440"/>
      <c r="M8" s="440"/>
      <c r="N8" s="440"/>
      <c r="O8" s="440"/>
      <c r="P8" s="441"/>
      <c r="Q8" s="442"/>
    </row>
    <row r="9" spans="1:20" x14ac:dyDescent="0.2">
      <c r="A9" s="884" t="s">
        <v>24</v>
      </c>
      <c r="B9" s="886" t="s">
        <v>25</v>
      </c>
      <c r="C9" s="886">
        <v>114.02</v>
      </c>
      <c r="D9" s="886" t="s">
        <v>26</v>
      </c>
      <c r="E9" s="615" t="s">
        <v>25</v>
      </c>
      <c r="F9" s="615" t="s">
        <v>26</v>
      </c>
      <c r="G9" s="615">
        <v>114.02</v>
      </c>
      <c r="H9" s="615">
        <v>8.77</v>
      </c>
      <c r="I9" s="615" t="s">
        <v>509</v>
      </c>
      <c r="J9" s="615" t="s">
        <v>27</v>
      </c>
      <c r="K9" s="726">
        <f t="shared" ref="K9:K11" si="0">IF(I9="mg/L",H9,IF(I9="log-mg/L",10^H9,IF(I9="g/L",H9*1000,IF(I9="ug/L",H9/1000,IF(I9="ng/mL",H9/1000,IF(I9="mol/L",H9*G9*1000,IF(I9="log-mol/L",(10^(H9))*G9*1000)))))))</f>
        <v>999955.39999999991</v>
      </c>
      <c r="L9" s="672">
        <f>IF(I9="log-mg/L",H9,LOG(K9))</f>
        <v>5.9999806300341536</v>
      </c>
      <c r="M9" s="736">
        <f>IF(I9="mol/L",H9,(K9/1000)/G9)</f>
        <v>8.77</v>
      </c>
      <c r="N9" s="672">
        <f>IF(I9="log-mol/L",H9,LOG(M9))</f>
        <v>0.94299959336604045</v>
      </c>
      <c r="O9" s="615" t="s">
        <v>33</v>
      </c>
      <c r="P9" s="600" t="s">
        <v>511</v>
      </c>
      <c r="Q9" s="100">
        <f>VLOOKUP(P9,References!$B$7:$F$252,5,FALSE)</f>
        <v>36</v>
      </c>
      <c r="T9" s="12"/>
    </row>
    <row r="10" spans="1:20" x14ac:dyDescent="0.2">
      <c r="A10" s="884"/>
      <c r="B10" s="886"/>
      <c r="C10" s="886"/>
      <c r="D10" s="886"/>
      <c r="E10" s="615" t="s">
        <v>25</v>
      </c>
      <c r="F10" s="615" t="s">
        <v>26</v>
      </c>
      <c r="G10" s="615">
        <v>114.02</v>
      </c>
      <c r="H10" s="615">
        <v>0.216</v>
      </c>
      <c r="I10" s="615" t="s">
        <v>509</v>
      </c>
      <c r="J10" s="615" t="s">
        <v>512</v>
      </c>
      <c r="K10" s="726">
        <f t="shared" ref="K10" si="1">IF(I10="mg/L",H10,IF(I10="log-mg/L",10^H10,IF(I10="g/L",H10*1000,IF(I10="ug/L",H10/1000,IF(I10="ng/mL",H10/1000,IF(I10="mol/L",H10*G10*1000,IF(I10="log-mol/L",(10^(H10))*G10*1000)))))))</f>
        <v>24628.32</v>
      </c>
      <c r="L10" s="672">
        <f>IF(I10="log-mg/L",H10,LOG(K10))</f>
        <v>4.3914347878190441</v>
      </c>
      <c r="M10" s="736">
        <f>IF(I10="mol/L",H10,(K10/1000)/G10)</f>
        <v>0.216</v>
      </c>
      <c r="N10" s="672">
        <f>IF(I10="log-mol/L",H10,LOG(M10))</f>
        <v>-0.6655462488490691</v>
      </c>
      <c r="O10" s="615" t="s">
        <v>33</v>
      </c>
      <c r="P10" s="600" t="s">
        <v>511</v>
      </c>
      <c r="Q10" s="100">
        <f>VLOOKUP(P10,References!$B$7:$F$252,5,FALSE)</f>
        <v>36</v>
      </c>
      <c r="T10" s="12"/>
    </row>
    <row r="11" spans="1:20" x14ac:dyDescent="0.2">
      <c r="A11" s="884"/>
      <c r="B11" s="886"/>
      <c r="C11" s="886"/>
      <c r="D11" s="886"/>
      <c r="E11" s="615" t="s">
        <v>25</v>
      </c>
      <c r="F11" s="615" t="s">
        <v>26</v>
      </c>
      <c r="G11" s="615">
        <v>114.02</v>
      </c>
      <c r="H11" s="615">
        <v>0.85499999999999998</v>
      </c>
      <c r="I11" s="615" t="s">
        <v>509</v>
      </c>
      <c r="J11" s="615" t="s">
        <v>513</v>
      </c>
      <c r="K11" s="726">
        <f t="shared" si="0"/>
        <v>97487.099999999991</v>
      </c>
      <c r="L11" s="672">
        <f>IF(I11="log-mg/L",H11,LOG(K11))</f>
        <v>4.9889471513962853</v>
      </c>
      <c r="M11" s="736">
        <f>IF(I11="mol/L",H11,(K11/1000)/G11)</f>
        <v>0.85499999999999998</v>
      </c>
      <c r="N11" s="672">
        <f>IF(I11="log-mol/L",H11,LOG(M11))</f>
        <v>-6.8033885271827368E-2</v>
      </c>
      <c r="O11" s="615" t="s">
        <v>33</v>
      </c>
      <c r="P11" s="600" t="s">
        <v>511</v>
      </c>
      <c r="Q11" s="100">
        <f>VLOOKUP(P11,References!$B$7:$F$252,5,FALSE)</f>
        <v>36</v>
      </c>
    </row>
    <row r="12" spans="1:20" x14ac:dyDescent="0.2">
      <c r="A12" s="884"/>
      <c r="B12" s="886"/>
      <c r="C12" s="886"/>
      <c r="D12" s="886"/>
      <c r="E12" s="615" t="s">
        <v>25</v>
      </c>
      <c r="F12" s="615" t="s">
        <v>26</v>
      </c>
      <c r="G12" s="615">
        <v>114.02</v>
      </c>
      <c r="H12" s="615">
        <v>0.93</v>
      </c>
      <c r="I12" s="615" t="s">
        <v>509</v>
      </c>
      <c r="J12" s="615" t="s">
        <v>514</v>
      </c>
      <c r="K12" s="726">
        <f t="shared" ref="K12" si="2">IF(I12="mg/L",H12,IF(I12="log-mg/L",10^H12,IF(I12="g/L",H12*1000,IF(I12="ug/L",H12/1000,IF(I12="ng/mL",H12/1000,IF(I12="mol/L",H12*G12*1000,IF(I12="log-mol/L",(10^(H12))*G12*1000)))))))</f>
        <v>106038.6</v>
      </c>
      <c r="L12" s="672">
        <f>IF(I12="log-mg/L",H12,LOG(K12))</f>
        <v>5.0254639852220482</v>
      </c>
      <c r="M12" s="615">
        <f>IF(I12="mol/L",H12,(K12/1000)/G12)</f>
        <v>0.93</v>
      </c>
      <c r="N12" s="736">
        <f>IF(I12="log-mol/L",H12,LOG(M12))</f>
        <v>-3.1517051446064863E-2</v>
      </c>
      <c r="O12" s="615" t="s">
        <v>33</v>
      </c>
      <c r="P12" s="600" t="s">
        <v>511</v>
      </c>
      <c r="Q12" s="100">
        <f>VLOOKUP(P12,References!$B$7:$F$252,5,FALSE)</f>
        <v>36</v>
      </c>
    </row>
    <row r="13" spans="1:20" x14ac:dyDescent="0.2">
      <c r="A13" s="885"/>
      <c r="B13" s="887"/>
      <c r="C13" s="887"/>
      <c r="D13" s="887"/>
      <c r="E13" s="419" t="s">
        <v>25</v>
      </c>
      <c r="F13" s="419" t="s">
        <v>26</v>
      </c>
      <c r="G13" s="419">
        <v>114.02</v>
      </c>
      <c r="H13" s="419">
        <v>8.7100000000000009</v>
      </c>
      <c r="I13" s="419" t="s">
        <v>509</v>
      </c>
      <c r="J13" s="419" t="s">
        <v>515</v>
      </c>
      <c r="K13" s="727">
        <f t="shared" ref="K13" si="3">IF(I13="mg/L",H13,IF(I13="log-mg/L",10^H13,IF(I13="g/L",H13*1000,IF(I13="ug/L",H13/1000,IF(I13="ng/mL",H13/1000,IF(I13="mol/L",H13*G13*1000,IF(I13="log-mol/L",(10^(H13))*G13*1000)))))))</f>
        <v>993114.20000000007</v>
      </c>
      <c r="L13" s="676">
        <f t="shared" ref="L13" si="4">IF(I13="log-mg/L",H13,LOG(K13))</f>
        <v>5.9969991916757763</v>
      </c>
      <c r="M13" s="419">
        <f t="shared" ref="M13" si="5">IF(I13="mol/L",H13,(K13/1000)/G13)</f>
        <v>8.7100000000000009</v>
      </c>
      <c r="N13" s="676">
        <f t="shared" ref="N13" si="6">IF(I13="log-mol/L",H13,LOG(M13))</f>
        <v>0.94001815500766328</v>
      </c>
      <c r="O13" s="419">
        <v>25</v>
      </c>
      <c r="P13" s="598" t="s">
        <v>511</v>
      </c>
      <c r="Q13" s="122">
        <f>VLOOKUP(P13,References!$B$7:$F$252,5,FALSE)</f>
        <v>36</v>
      </c>
    </row>
    <row r="14" spans="1:20" x14ac:dyDescent="0.2">
      <c r="A14" s="888" t="s">
        <v>516</v>
      </c>
      <c r="B14" s="889" t="s">
        <v>38</v>
      </c>
      <c r="C14" s="889">
        <v>163.02000000000001</v>
      </c>
      <c r="D14" s="889" t="s">
        <v>39</v>
      </c>
      <c r="E14" s="615" t="s">
        <v>38</v>
      </c>
      <c r="F14" s="615" t="s">
        <v>517</v>
      </c>
      <c r="G14" s="615">
        <v>163.02000000000001</v>
      </c>
      <c r="H14" s="615">
        <v>0.14799999999999999</v>
      </c>
      <c r="I14" s="615" t="s">
        <v>509</v>
      </c>
      <c r="J14" s="615" t="s">
        <v>515</v>
      </c>
      <c r="K14" s="726">
        <f t="shared" ref="K14:K15" si="7">IF(I14="mg/L",H14,IF(I14="log-mg/L",10^H14,IF(I14="g/L",H14*1000,IF(I14="ug/L",H14/1000,IF(I14="ng/mL",H14/1000,IF(I14="mol/L",H14*G14*1000,IF(I14="log-mol/L",(10^(H14))*G14*1000)))))))</f>
        <v>24126.959999999999</v>
      </c>
      <c r="L14" s="672">
        <f t="shared" ref="L14:L15" si="8">IF(I14="log-mg/L",H14,LOG(K14))</f>
        <v>4.3825026041964916</v>
      </c>
      <c r="M14" s="615">
        <f t="shared" ref="M14:M15" si="9">IF(I14="mol/L",H14,(K14/1000)/G14)</f>
        <v>0.14799999999999999</v>
      </c>
      <c r="N14" s="672">
        <f t="shared" ref="N14:N15" si="10">IF(I14="log-mol/L",H14,LOG(M14))</f>
        <v>-0.82973828460504262</v>
      </c>
      <c r="O14" s="615">
        <v>25</v>
      </c>
      <c r="P14" s="600" t="s">
        <v>511</v>
      </c>
      <c r="Q14" s="100">
        <f>VLOOKUP(P14,References!$B$7:$F$252,5,FALSE)</f>
        <v>36</v>
      </c>
    </row>
    <row r="15" spans="1:20" x14ac:dyDescent="0.2">
      <c r="A15" s="885"/>
      <c r="B15" s="887"/>
      <c r="C15" s="887"/>
      <c r="D15" s="887"/>
      <c r="E15" s="419" t="s">
        <v>38</v>
      </c>
      <c r="F15" s="419" t="s">
        <v>517</v>
      </c>
      <c r="G15" s="419">
        <v>163.02000000000001</v>
      </c>
      <c r="H15" s="419">
        <v>0.15</v>
      </c>
      <c r="I15" s="419" t="s">
        <v>509</v>
      </c>
      <c r="J15" s="419" t="s">
        <v>514</v>
      </c>
      <c r="K15" s="727">
        <f t="shared" si="7"/>
        <v>24453</v>
      </c>
      <c r="L15" s="676">
        <f t="shared" si="8"/>
        <v>4.3883321478572155</v>
      </c>
      <c r="M15" s="419">
        <f t="shared" si="9"/>
        <v>0.15</v>
      </c>
      <c r="N15" s="676">
        <f t="shared" si="10"/>
        <v>-0.82390874094431876</v>
      </c>
      <c r="O15" s="419" t="s">
        <v>33</v>
      </c>
      <c r="P15" s="598" t="s">
        <v>511</v>
      </c>
      <c r="Q15" s="122">
        <f>VLOOKUP(P15,References!$B$7:$F$252,5,FALSE)</f>
        <v>36</v>
      </c>
    </row>
    <row r="16" spans="1:20" ht="15.75" customHeight="1" x14ac:dyDescent="0.2">
      <c r="A16" s="868" t="s">
        <v>41</v>
      </c>
      <c r="B16" s="869" t="s">
        <v>42</v>
      </c>
      <c r="C16" s="841">
        <v>214</v>
      </c>
      <c r="D16" s="832" t="s">
        <v>43</v>
      </c>
      <c r="E16" s="145" t="s">
        <v>42</v>
      </c>
      <c r="F16" s="58" t="s">
        <v>43</v>
      </c>
      <c r="G16" s="178">
        <v>214</v>
      </c>
      <c r="H16" s="58">
        <v>2.65</v>
      </c>
      <c r="I16" s="58" t="s">
        <v>518</v>
      </c>
      <c r="J16" s="58" t="s">
        <v>519</v>
      </c>
      <c r="K16" s="433">
        <f t="shared" ref="K16" si="11">IF(I16="mg/L",H16,IF(I16="log-mg/L",10^H16,IF(I16="g/L",H16*1000,IF(I16="ug/L",H16/1000,IF(I16="ng/mL",H16/1000,IF(I16="mol/L",H16*G16*1000,IF(I16="log-mol/L",(10^(H16))*G16*1000)))))))</f>
        <v>446.68359215096331</v>
      </c>
      <c r="L16" s="178">
        <f>IF(I16="log-mg/L",H16,LOG(K16))</f>
        <v>2.65</v>
      </c>
      <c r="M16" s="433">
        <f>IF(I16="mol/L",H16,(K16/1000)/G16)</f>
        <v>2.0873065053783331E-3</v>
      </c>
      <c r="N16" s="178">
        <f>IF(I16="log-mol/L",H16,LOG(M16))</f>
        <v>-2.6804137733491906</v>
      </c>
      <c r="O16" s="58">
        <v>25</v>
      </c>
      <c r="P16" s="600" t="s">
        <v>520</v>
      </c>
      <c r="Q16" s="100">
        <f>VLOOKUP(P16,References!$B$7:$F$252,5,FALSE)</f>
        <v>14</v>
      </c>
    </row>
    <row r="17" spans="1:17" ht="15.75" customHeight="1" x14ac:dyDescent="0.2">
      <c r="A17" s="868"/>
      <c r="B17" s="869"/>
      <c r="C17" s="841"/>
      <c r="D17" s="832"/>
      <c r="E17" s="145" t="s">
        <v>42</v>
      </c>
      <c r="F17" s="58" t="s">
        <v>43</v>
      </c>
      <c r="G17" s="178">
        <v>214</v>
      </c>
      <c r="H17" s="58">
        <v>0.42</v>
      </c>
      <c r="I17" s="58" t="s">
        <v>521</v>
      </c>
      <c r="J17" s="58" t="s">
        <v>522</v>
      </c>
      <c r="K17" s="433">
        <f>IF(I17="mg/L",H17,IF(I17="log-mg/L",10^H17,IF(I17="g/L",H17*1000,IF(I17="ug/L",H17/1000,IF(I17="ng/mL",H17/1000,IF(I17="mol/L",H17*G18*1000,IF(I17="log-mol/L",(10^(H17))*G18*1000)))))))</f>
        <v>562877.35026561178</v>
      </c>
      <c r="L17" s="178">
        <f>IF(I17="log-mg/L",H17,LOG(K17))</f>
        <v>5.7504137733491909</v>
      </c>
      <c r="M17" s="433">
        <f>IF(I17="mol/L",H17,(K17/1000)/G18)</f>
        <v>2.6302679918953822</v>
      </c>
      <c r="N17" s="178">
        <f>IF(I17="log-mol/L",H17,LOG(M17))</f>
        <v>0.42</v>
      </c>
      <c r="O17" s="58" t="s">
        <v>33</v>
      </c>
      <c r="P17" s="600" t="s">
        <v>523</v>
      </c>
      <c r="Q17" s="100">
        <f>VLOOKUP(P17,References!$B$7:$F$252,5,FALSE)</f>
        <v>127</v>
      </c>
    </row>
    <row r="18" spans="1:17" x14ac:dyDescent="0.2">
      <c r="A18" s="868"/>
      <c r="B18" s="869"/>
      <c r="C18" s="841"/>
      <c r="D18" s="832"/>
      <c r="E18" s="145" t="s">
        <v>42</v>
      </c>
      <c r="F18" s="58" t="s">
        <v>43</v>
      </c>
      <c r="G18" s="178">
        <v>214</v>
      </c>
      <c r="H18" s="58">
        <v>-0.64</v>
      </c>
      <c r="I18" s="58" t="s">
        <v>521</v>
      </c>
      <c r="J18" s="58" t="s">
        <v>524</v>
      </c>
      <c r="K18" s="433">
        <f>IF(I18="mg/L",H18,IF(I18="log-mg/L",10^H18,IF(I18="g/L",H18*1000,IF(I18="ug/L",H18/1000,IF(I18="ng/mL",H18/1000,IF(I18="mol/L",H18*G17*1000,IF(I18="log-mol/L",(10^(H18))*G17*1000)))))))</f>
        <v>49024.567769230336</v>
      </c>
      <c r="L18" s="178">
        <f t="shared" ref="L18" si="12">IF(I18="log-mg/L",H18,LOG(K18))</f>
        <v>4.6904137733491904</v>
      </c>
      <c r="M18" s="433">
        <f>IF(I18="mol/L",H18,(K18/1000)/G17)</f>
        <v>0.22908676527677727</v>
      </c>
      <c r="N18" s="178">
        <f t="shared" ref="N18" si="13">IF(I18="log-mol/L",H18,LOG(M18))</f>
        <v>-0.64</v>
      </c>
      <c r="O18" s="58">
        <v>25</v>
      </c>
      <c r="P18" s="600" t="s">
        <v>525</v>
      </c>
      <c r="Q18" s="100">
        <f>VLOOKUP(P18,References!$B$7:$F$252,5,FALSE)</f>
        <v>61</v>
      </c>
    </row>
    <row r="19" spans="1:17" x14ac:dyDescent="0.2">
      <c r="A19" s="868"/>
      <c r="B19" s="869"/>
      <c r="C19" s="841"/>
      <c r="D19" s="832"/>
      <c r="E19" s="145" t="s">
        <v>42</v>
      </c>
      <c r="F19" s="58" t="s">
        <v>43</v>
      </c>
      <c r="G19" s="178">
        <v>214</v>
      </c>
      <c r="H19" s="354">
        <v>3.5799999999999998E-3</v>
      </c>
      <c r="I19" s="58" t="s">
        <v>509</v>
      </c>
      <c r="J19" s="58" t="s">
        <v>513</v>
      </c>
      <c r="K19" s="433">
        <f>IF(I19="mg/L",H19,IF(I19="log-mg/L",10^H19,IF(I19="g/L",H19*1000,IF(I19="ug/L",H19/1000,IF(I19="ng/mL",H19/1000,IF(I19="mol/L",H19*G19*1000,IF(I19="log-mol/L",(10^(H19))*G19*1000)))))))</f>
        <v>766.11999999999989</v>
      </c>
      <c r="L19" s="178">
        <f t="shared" ref="L19:L94" si="14">IF(I19="log-mg/L",H19,LOG(K19))</f>
        <v>2.8842967999930651</v>
      </c>
      <c r="M19" s="433">
        <f>IF(I19="mol/L",H19,(K19/1000)/G19)</f>
        <v>3.5799999999999998E-3</v>
      </c>
      <c r="N19" s="178">
        <f t="shared" ref="N19:N94" si="15">IF(I19="log-mol/L",H19,LOG(M19))</f>
        <v>-2.4461169733561254</v>
      </c>
      <c r="O19" s="58" t="s">
        <v>33</v>
      </c>
      <c r="P19" s="600" t="s">
        <v>511</v>
      </c>
      <c r="Q19" s="100">
        <f>VLOOKUP(P19,References!$B$7:$F$252,5,FALSE)</f>
        <v>36</v>
      </c>
    </row>
    <row r="20" spans="1:17" x14ac:dyDescent="0.2">
      <c r="A20" s="868"/>
      <c r="B20" s="869"/>
      <c r="C20" s="841"/>
      <c r="D20" s="832"/>
      <c r="E20" s="145" t="s">
        <v>42</v>
      </c>
      <c r="F20" s="58" t="s">
        <v>43</v>
      </c>
      <c r="G20" s="178">
        <v>214</v>
      </c>
      <c r="H20" s="354">
        <v>1.5299999999999999E-3</v>
      </c>
      <c r="I20" s="58" t="s">
        <v>509</v>
      </c>
      <c r="J20" s="58" t="s">
        <v>512</v>
      </c>
      <c r="K20" s="433">
        <f>IF(I20="mg/L",H20,IF(I20="log-mg/L",10^H20,IF(I20="g/L",H20*1000,IF(I20="ug/L",H20/1000,IF(I20="ng/mL",H20/1000,IF(I20="mol/L",H20*G20*1000,IF(I20="log-mol/L",(10^(H20))*G20*1000)))))))</f>
        <v>327.42</v>
      </c>
      <c r="L20" s="178">
        <f t="shared" si="14"/>
        <v>2.5151052041667898</v>
      </c>
      <c r="M20" s="433">
        <f>IF(I20="mol/L",H20,(K20/1000)/G20)</f>
        <v>1.5299999999999999E-3</v>
      </c>
      <c r="N20" s="178">
        <f t="shared" si="15"/>
        <v>-2.8153085691824011</v>
      </c>
      <c r="O20" s="58" t="s">
        <v>33</v>
      </c>
      <c r="P20" s="600" t="s">
        <v>511</v>
      </c>
      <c r="Q20" s="100">
        <f>VLOOKUP(P20,References!$B$7:$F$252,5,FALSE)</f>
        <v>36</v>
      </c>
    </row>
    <row r="21" spans="1:17" x14ac:dyDescent="0.2">
      <c r="A21" s="868"/>
      <c r="B21" s="869"/>
      <c r="C21" s="841"/>
      <c r="D21" s="832"/>
      <c r="E21" s="145" t="s">
        <v>42</v>
      </c>
      <c r="F21" s="58" t="s">
        <v>43</v>
      </c>
      <c r="G21" s="178">
        <v>214</v>
      </c>
      <c r="H21" s="58">
        <v>4.8000000000000001E-2</v>
      </c>
      <c r="I21" s="58" t="s">
        <v>509</v>
      </c>
      <c r="J21" s="58" t="s">
        <v>514</v>
      </c>
      <c r="K21" s="433">
        <f>IF(I21="mg/L",H21,IF(I21="log-mg/L",10^H21,IF(I21="g/L",H21*1000,IF(I21="ug/L",H21/1000,IF(I21="ng/mL",H21/1000,IF(I21="mol/L",H21*G21*1000,IF(I21="log-mol/L",(10^(H21))*G21*1000)))))))</f>
        <v>10272</v>
      </c>
      <c r="L21" s="178">
        <f t="shared" si="14"/>
        <v>4.0116550107247777</v>
      </c>
      <c r="M21" s="433">
        <f>IF(I21="mol/L",H21,(K21/1000)/G21)</f>
        <v>4.8000000000000001E-2</v>
      </c>
      <c r="N21" s="178">
        <f t="shared" si="15"/>
        <v>-1.3187587626244128</v>
      </c>
      <c r="O21" s="58" t="s">
        <v>33</v>
      </c>
      <c r="P21" s="600" t="s">
        <v>511</v>
      </c>
      <c r="Q21" s="100">
        <f>VLOOKUP(P21,References!$B$7:$F$252,5,FALSE)</f>
        <v>36</v>
      </c>
    </row>
    <row r="22" spans="1:17" x14ac:dyDescent="0.2">
      <c r="A22" s="879"/>
      <c r="B22" s="851"/>
      <c r="C22" s="842"/>
      <c r="D22" s="834"/>
      <c r="E22" s="239" t="s">
        <v>42</v>
      </c>
      <c r="F22" s="59" t="s">
        <v>43</v>
      </c>
      <c r="G22" s="183">
        <v>214</v>
      </c>
      <c r="H22" s="327">
        <v>2.0899999999999998E-3</v>
      </c>
      <c r="I22" s="59" t="s">
        <v>509</v>
      </c>
      <c r="J22" s="59" t="s">
        <v>515</v>
      </c>
      <c r="K22" s="469">
        <f>IF(I22="mg/L",H22,IF(I22="log-mg/L",10^H22,IF(I22="g/L",H22*1000,IF(I22="ug/L",H22/1000,IF(I22="ng/mL",H22/1000,IF(I22="mol/L",H22*G22*1000,IF(I22="log-mol/L",(10^(H22))*G22*1000)))))))</f>
        <v>447.26</v>
      </c>
      <c r="L22" s="183">
        <f t="shared" si="14"/>
        <v>2.6505600594602448</v>
      </c>
      <c r="M22" s="469">
        <f>IF(I22="mol/L",H22,(K22/1000)/G22)</f>
        <v>2.0899999999999998E-3</v>
      </c>
      <c r="N22" s="183">
        <f t="shared" si="15"/>
        <v>-2.6798537138889462</v>
      </c>
      <c r="O22" s="59">
        <v>25</v>
      </c>
      <c r="P22" s="598" t="s">
        <v>511</v>
      </c>
      <c r="Q22" s="122">
        <f>VLOOKUP(P22,References!$B$7:$F$252,5,FALSE)</f>
        <v>36</v>
      </c>
    </row>
    <row r="23" spans="1:17" ht="15.75" customHeight="1" x14ac:dyDescent="0.2">
      <c r="A23" s="868" t="s">
        <v>51</v>
      </c>
      <c r="B23" s="869" t="s">
        <v>52</v>
      </c>
      <c r="C23" s="841">
        <v>264.10000000000002</v>
      </c>
      <c r="D23" s="832" t="s">
        <v>53</v>
      </c>
      <c r="E23" s="145" t="s">
        <v>52</v>
      </c>
      <c r="F23" s="58" t="s">
        <v>53</v>
      </c>
      <c r="G23" s="178">
        <v>264.10000000000002</v>
      </c>
      <c r="H23" s="58">
        <v>2.08</v>
      </c>
      <c r="I23" s="58" t="s">
        <v>518</v>
      </c>
      <c r="J23" s="58" t="s">
        <v>519</v>
      </c>
      <c r="K23" s="433">
        <f>IF(I23="mg/L",H23,IF(I23="log-mg/L",10^H23,IF(I23="g/L",H23*1000,IF(I23="ug/L",H23/1000,IF(I23="ng/mL",H23/1000,IF(I23="mol/L",H23*G23*1000,IF(I23="log-mol/L",(10^(H23))*G23*1000)))))))</f>
        <v>120.22644346174135</v>
      </c>
      <c r="L23" s="178">
        <f t="shared" si="14"/>
        <v>2.08</v>
      </c>
      <c r="M23" s="433">
        <f>IF(I23="mol/L",H23,(K23/1000)/G23)</f>
        <v>4.552307590372637E-4</v>
      </c>
      <c r="N23" s="178">
        <f t="shared" si="15"/>
        <v>-3.3417684012069238</v>
      </c>
      <c r="O23" s="58">
        <v>25</v>
      </c>
      <c r="P23" s="600" t="s">
        <v>520</v>
      </c>
      <c r="Q23" s="100">
        <f>VLOOKUP(P23,References!$B$7:$F$252,5,FALSE)</f>
        <v>14</v>
      </c>
    </row>
    <row r="24" spans="1:17" ht="15.75" customHeight="1" x14ac:dyDescent="0.2">
      <c r="A24" s="868"/>
      <c r="B24" s="869"/>
      <c r="C24" s="841"/>
      <c r="D24" s="832"/>
      <c r="E24" s="145" t="s">
        <v>52</v>
      </c>
      <c r="F24" s="58" t="s">
        <v>53</v>
      </c>
      <c r="G24" s="178">
        <v>264.10000000000002</v>
      </c>
      <c r="H24" s="58">
        <v>-0.37</v>
      </c>
      <c r="I24" s="58" t="s">
        <v>521</v>
      </c>
      <c r="J24" s="58" t="s">
        <v>522</v>
      </c>
      <c r="K24" s="433">
        <f>IF(I24="mg/L",H24,IF(I24="log-mg/L",10^H24,IF(I24="g/L",H24*1000,IF(I24="ug/L",H24/1000,IF(I24="ng/mL",H24/1000,IF(I24="mol/L",H24*G25*1000,IF(I24="log-mol/L",(10^(H24))*G25*1000)))))))</f>
        <v>112659.65091550064</v>
      </c>
      <c r="L24" s="178">
        <f>IF(I24="log-mg/L",H24,LOG(K24))</f>
        <v>5.0517684012069237</v>
      </c>
      <c r="M24" s="433">
        <f>IF(I24="mol/L",H24,(K24/1000)/G25)</f>
        <v>0.42657951880159267</v>
      </c>
      <c r="N24" s="178">
        <f>IF(I24="log-mol/L",H24,LOG(M24))</f>
        <v>-0.37</v>
      </c>
      <c r="O24" s="58" t="s">
        <v>33</v>
      </c>
      <c r="P24" s="600" t="s">
        <v>523</v>
      </c>
      <c r="Q24" s="100">
        <f>VLOOKUP(P24,References!$B$7:$F$252,5,FALSE)</f>
        <v>127</v>
      </c>
    </row>
    <row r="25" spans="1:17" x14ac:dyDescent="0.2">
      <c r="A25" s="868"/>
      <c r="B25" s="869"/>
      <c r="C25" s="841"/>
      <c r="D25" s="832"/>
      <c r="E25" s="145" t="s">
        <v>52</v>
      </c>
      <c r="F25" s="58" t="s">
        <v>53</v>
      </c>
      <c r="G25" s="178">
        <v>264.10000000000002</v>
      </c>
      <c r="H25" s="58">
        <v>-1.43</v>
      </c>
      <c r="I25" s="58" t="s">
        <v>521</v>
      </c>
      <c r="J25" s="58" t="s">
        <v>524</v>
      </c>
      <c r="K25" s="433">
        <f>IF(I25="mg/L",H25,IF(I25="log-mg/L",10^H25,IF(I25="g/L",H25*1000,IF(I25="ug/L",H25/1000,IF(I25="ng/mL",H25/1000,IF(I25="mol/L",H25*G24*1000,IF(I25="log-mol/L",(10^(H25))*G24*1000)))))))</f>
        <v>9812.2454004563278</v>
      </c>
      <c r="L25" s="178">
        <f t="shared" ref="L25" si="16">IF(I25="log-mg/L",H25,LOG(K25))</f>
        <v>3.9917684012069241</v>
      </c>
      <c r="M25" s="433">
        <f>IF(I25="mol/L",H25,(K25/1000)/G24)</f>
        <v>3.7153522909717254E-2</v>
      </c>
      <c r="N25" s="178">
        <f t="shared" ref="N25" si="17">IF(I25="log-mol/L",H25,LOG(M25))</f>
        <v>-1.43</v>
      </c>
      <c r="O25" s="58">
        <v>25</v>
      </c>
      <c r="P25" s="600" t="s">
        <v>525</v>
      </c>
      <c r="Q25" s="100">
        <f>VLOOKUP(P25,References!$B$7:$F$252,5,FALSE)</f>
        <v>61</v>
      </c>
    </row>
    <row r="26" spans="1:17" x14ac:dyDescent="0.2">
      <c r="A26" s="868"/>
      <c r="B26" s="869"/>
      <c r="C26" s="841"/>
      <c r="D26" s="832"/>
      <c r="E26" s="145" t="s">
        <v>52</v>
      </c>
      <c r="F26" s="58" t="s">
        <v>53</v>
      </c>
      <c r="G26" s="178">
        <v>264.10000000000002</v>
      </c>
      <c r="H26" s="354">
        <v>2.31E-4</v>
      </c>
      <c r="I26" s="58" t="s">
        <v>509</v>
      </c>
      <c r="J26" s="58" t="s">
        <v>513</v>
      </c>
      <c r="K26" s="433">
        <f>IF(I26="mg/L",H26,IF(I26="log-mg/L",10^H26,IF(I26="g/L",H26*1000,IF(I26="ug/L",H26/1000,IF(I26="ng/mL",H26/1000,IF(I26="mol/L",H26*G26*1000,IF(I26="log-mol/L",(10^(H26))*G26*1000)))))))</f>
        <v>61.007100000000008</v>
      </c>
      <c r="L26" s="178">
        <f t="shared" si="14"/>
        <v>1.7853803810990685</v>
      </c>
      <c r="M26" s="433">
        <f>IF(I26="mol/L",H26,(K26/1000)/G26)</f>
        <v>2.31E-4</v>
      </c>
      <c r="N26" s="178">
        <f t="shared" si="15"/>
        <v>-3.6363880201078556</v>
      </c>
      <c r="O26" s="58" t="s">
        <v>33</v>
      </c>
      <c r="P26" s="600" t="s">
        <v>511</v>
      </c>
      <c r="Q26" s="100">
        <f>VLOOKUP(P26,References!$B$7:$F$252,5,FALSE)</f>
        <v>36</v>
      </c>
    </row>
    <row r="27" spans="1:17" x14ac:dyDescent="0.2">
      <c r="A27" s="868"/>
      <c r="B27" s="869"/>
      <c r="C27" s="841"/>
      <c r="D27" s="832"/>
      <c r="E27" s="145" t="s">
        <v>52</v>
      </c>
      <c r="F27" s="58" t="s">
        <v>53</v>
      </c>
      <c r="G27" s="178">
        <v>264.10000000000002</v>
      </c>
      <c r="H27" s="354">
        <v>2.7900000000000001E-4</v>
      </c>
      <c r="I27" s="58" t="s">
        <v>509</v>
      </c>
      <c r="J27" s="58" t="s">
        <v>512</v>
      </c>
      <c r="K27" s="433">
        <f>IF(I27="mg/L",H27,IF(I27="log-mg/L",10^H27,IF(I27="g/L",H27*1000,IF(I27="ug/L",H27/1000,IF(I27="ng/mL",H27/1000,IF(I27="mol/L",H27*G27*1000,IF(I27="log-mol/L",(10^(H27))*G27*1000)))))))</f>
        <v>73.683900000000008</v>
      </c>
      <c r="L27" s="178">
        <f t="shared" si="14"/>
        <v>1.8673726044805217</v>
      </c>
      <c r="M27" s="433">
        <f>IF(I27="mol/L",H27,(K27/1000)/G27)</f>
        <v>2.7900000000000001E-4</v>
      </c>
      <c r="N27" s="178">
        <f t="shared" si="15"/>
        <v>-3.5543957967264026</v>
      </c>
      <c r="O27" s="58" t="s">
        <v>33</v>
      </c>
      <c r="P27" s="600" t="s">
        <v>511</v>
      </c>
      <c r="Q27" s="100">
        <f>VLOOKUP(P27,References!$B$7:$F$252,5,FALSE)</f>
        <v>36</v>
      </c>
    </row>
    <row r="28" spans="1:17" x14ac:dyDescent="0.2">
      <c r="A28" s="868"/>
      <c r="B28" s="869"/>
      <c r="C28" s="841"/>
      <c r="D28" s="832"/>
      <c r="E28" s="145" t="s">
        <v>52</v>
      </c>
      <c r="F28" s="58" t="s">
        <v>53</v>
      </c>
      <c r="G28" s="178">
        <v>264.10000000000002</v>
      </c>
      <c r="H28" s="350">
        <v>1.4999999999999999E-2</v>
      </c>
      <c r="I28" s="58" t="s">
        <v>509</v>
      </c>
      <c r="J28" s="58" t="s">
        <v>514</v>
      </c>
      <c r="K28" s="433">
        <f>IF(I28="mg/L",H28,IF(I28="log-mg/L",10^H28,IF(I28="g/L",H28*1000,IF(I28="ug/L",H28/1000,IF(I28="ng/mL",H28/1000,IF(I28="mol/L",H28*G28*1000,IF(I28="log-mol/L",(10^(H28))*G28*1000)))))))</f>
        <v>3961.5</v>
      </c>
      <c r="L28" s="178">
        <f t="shared" si="14"/>
        <v>3.5978596602626052</v>
      </c>
      <c r="M28" s="433">
        <f>IF(I28="mol/L",H28,(K28/1000)/G28)</f>
        <v>1.4999999999999999E-2</v>
      </c>
      <c r="N28" s="178">
        <f t="shared" si="15"/>
        <v>-1.8239087409443189</v>
      </c>
      <c r="O28" s="58" t="s">
        <v>33</v>
      </c>
      <c r="P28" s="600" t="s">
        <v>511</v>
      </c>
      <c r="Q28" s="100">
        <f>VLOOKUP(P28,References!$B$7:$F$252,5,FALSE)</f>
        <v>36</v>
      </c>
    </row>
    <row r="29" spans="1:17" x14ac:dyDescent="0.2">
      <c r="A29" s="868"/>
      <c r="B29" s="869"/>
      <c r="C29" s="841"/>
      <c r="D29" s="834"/>
      <c r="E29" s="239" t="s">
        <v>52</v>
      </c>
      <c r="F29" s="59" t="s">
        <v>53</v>
      </c>
      <c r="G29" s="183">
        <v>264.10000000000002</v>
      </c>
      <c r="H29" s="327">
        <v>4.55E-4</v>
      </c>
      <c r="I29" s="59" t="s">
        <v>509</v>
      </c>
      <c r="J29" s="59" t="s">
        <v>515</v>
      </c>
      <c r="K29" s="469">
        <f>IF(I29="mg/L",H29,IF(I29="log-mg/L",10^H29,IF(I29="g/L",H29*1000,IF(I29="ug/L",H29/1000,IF(I29="ng/mL",H29/1000,IF(I29="mol/L",H29*G29*1000,IF(I29="log-mol/L",(10^(H29))*G29*1000)))))))</f>
        <v>120.16550000000001</v>
      </c>
      <c r="L29" s="183">
        <f t="shared" si="14"/>
        <v>2.0797797978640364</v>
      </c>
      <c r="M29" s="469">
        <f>IF(I29="mol/L",H29,(K29/1000)/G29)</f>
        <v>4.55E-4</v>
      </c>
      <c r="N29" s="183">
        <f t="shared" si="15"/>
        <v>-3.3419886033428874</v>
      </c>
      <c r="O29" s="58">
        <v>25</v>
      </c>
      <c r="P29" s="600" t="s">
        <v>511</v>
      </c>
      <c r="Q29" s="100">
        <f>VLOOKUP(P29,References!$B$7:$F$252,5,FALSE)</f>
        <v>36</v>
      </c>
    </row>
    <row r="30" spans="1:17" x14ac:dyDescent="0.2">
      <c r="A30" s="867" t="s">
        <v>57</v>
      </c>
      <c r="B30" s="850" t="s">
        <v>58</v>
      </c>
      <c r="C30" s="833">
        <v>314.10000000000002</v>
      </c>
      <c r="D30" s="833" t="s">
        <v>59</v>
      </c>
      <c r="E30" s="151" t="s">
        <v>58</v>
      </c>
      <c r="F30" s="57" t="s">
        <v>59</v>
      </c>
      <c r="G30" s="57">
        <v>314.10000000000002</v>
      </c>
      <c r="H30" s="57">
        <v>1.47</v>
      </c>
      <c r="I30" s="57" t="s">
        <v>518</v>
      </c>
      <c r="J30" s="57" t="s">
        <v>519</v>
      </c>
      <c r="K30" s="433">
        <f>IF(I30="mg/L",H30,IF(I30="log-mg/L",10^H30,IF(I30="g/L",H30*1000,IF(I30="ug/L",H30/1000,IF(I30="ng/mL",H30/1000,IF(I30="mol/L",H30*G30*1000,IF(I30="log-mol/L",(10^(H30))*G30*1000)))))))</f>
        <v>29.512092266663863</v>
      </c>
      <c r="L30" s="181">
        <f t="shared" si="14"/>
        <v>1.47</v>
      </c>
      <c r="M30" s="433">
        <f>IF(I30="mol/L",H30,(K30/1000)/G30)</f>
        <v>9.3957632176580271E-5</v>
      </c>
      <c r="N30" s="181">
        <f t="shared" si="15"/>
        <v>-4.0270679363985042</v>
      </c>
      <c r="O30" s="57">
        <v>25</v>
      </c>
      <c r="P30" s="733" t="s">
        <v>520</v>
      </c>
      <c r="Q30" s="121">
        <f>VLOOKUP(P30,References!$B$7:$F$252,5,FALSE)</f>
        <v>14</v>
      </c>
    </row>
    <row r="31" spans="1:17" x14ac:dyDescent="0.2">
      <c r="A31" s="868"/>
      <c r="B31" s="869"/>
      <c r="C31" s="832"/>
      <c r="D31" s="832"/>
      <c r="E31" s="145" t="s">
        <v>58</v>
      </c>
      <c r="F31" s="58" t="s">
        <v>59</v>
      </c>
      <c r="G31" s="58">
        <v>314.10000000000002</v>
      </c>
      <c r="H31" s="58">
        <v>-1.1599999999999999</v>
      </c>
      <c r="I31" s="58" t="s">
        <v>521</v>
      </c>
      <c r="J31" s="58" t="s">
        <v>522</v>
      </c>
      <c r="K31" s="433">
        <f>IF(I31="mg/L",H31,IF(I31="log-mg/L",10^H31,IF(I31="g/L",H31*1000,IF(I31="ug/L",H31/1000,IF(I31="ng/mL",H31/1000,IF(I31="mol/L",H31*G32*1000,IF(I31="log-mol/L",(10^(H31))*G32*1000)))))))</f>
        <v>21730.410796563796</v>
      </c>
      <c r="L31" s="178">
        <f>IF(I31="log-mg/L",H31,LOG(K31))</f>
        <v>4.3370679363985047</v>
      </c>
      <c r="M31" s="433">
        <f>IF(I31="mol/L",H31,(K31/1000)/G32)</f>
        <v>6.9183097091893644E-2</v>
      </c>
      <c r="N31" s="178">
        <f>IF(I31="log-mol/L",H31,LOG(M31))</f>
        <v>-1.1599999999999999</v>
      </c>
      <c r="O31" s="58" t="s">
        <v>33</v>
      </c>
      <c r="P31" s="600" t="s">
        <v>523</v>
      </c>
      <c r="Q31" s="100">
        <f>VLOOKUP(P31,References!$B$7:$F$252,5,FALSE)</f>
        <v>127</v>
      </c>
    </row>
    <row r="32" spans="1:17" x14ac:dyDescent="0.2">
      <c r="A32" s="868"/>
      <c r="B32" s="869"/>
      <c r="C32" s="832"/>
      <c r="D32" s="832"/>
      <c r="E32" s="145" t="s">
        <v>58</v>
      </c>
      <c r="F32" s="58" t="s">
        <v>59</v>
      </c>
      <c r="G32" s="58">
        <v>314.10000000000002</v>
      </c>
      <c r="H32" s="58">
        <v>-2.2200000000000002</v>
      </c>
      <c r="I32" s="58" t="s">
        <v>521</v>
      </c>
      <c r="J32" s="58" t="s">
        <v>524</v>
      </c>
      <c r="K32" s="433">
        <f>IF(I32="mg/L",H32,IF(I32="log-mg/L",10^H32,IF(I32="g/L",H32*1000,IF(I32="ug/L",H32/1000,IF(I32="ng/mL",H32/1000,IF(I32="mol/L",H32*G31*1000,IF(I32="log-mol/L",(10^(H32))*G31*1000)))))))</f>
        <v>1892.6396598595561</v>
      </c>
      <c r="L32" s="178">
        <f t="shared" ref="L32" si="18">IF(I32="log-mg/L",H32,LOG(K32))</f>
        <v>3.2770679363985042</v>
      </c>
      <c r="M32" s="433">
        <f>IF(I32="mol/L",H32,(K32/1000)/G31)</f>
        <v>6.0255958607435718E-3</v>
      </c>
      <c r="N32" s="178">
        <f t="shared" ref="N32" si="19">IF(I32="log-mol/L",H32,LOG(M32))</f>
        <v>-2.2200000000000002</v>
      </c>
      <c r="O32" s="58">
        <v>25</v>
      </c>
      <c r="P32" s="600" t="s">
        <v>525</v>
      </c>
      <c r="Q32" s="100">
        <f>VLOOKUP(P32,References!$B$7:$F$252,5,FALSE)</f>
        <v>61</v>
      </c>
    </row>
    <row r="33" spans="1:17" x14ac:dyDescent="0.2">
      <c r="A33" s="868"/>
      <c r="B33" s="869"/>
      <c r="C33" s="832"/>
      <c r="D33" s="832"/>
      <c r="E33" s="145" t="s">
        <v>58</v>
      </c>
      <c r="F33" s="58" t="s">
        <v>59</v>
      </c>
      <c r="G33" s="58">
        <v>314.10000000000002</v>
      </c>
      <c r="H33" s="354">
        <v>1.5E-5</v>
      </c>
      <c r="I33" s="58" t="s">
        <v>509</v>
      </c>
      <c r="J33" s="58" t="s">
        <v>513</v>
      </c>
      <c r="K33" s="433">
        <f>IF(I33="mg/L",H33,IF(I33="log-mg/L",10^H33,IF(I33="g/L",H33*1000,IF(I33="ug/L",H33/1000,IF(I33="ng/mL",H33/1000,IF(I33="mol/L",H33*G33*1000,IF(I33="log-mol/L",(10^(H33))*G33*1000)))))))</f>
        <v>4.7115</v>
      </c>
      <c r="L33" s="178">
        <f t="shared" si="14"/>
        <v>0.67315919545418601</v>
      </c>
      <c r="M33" s="433">
        <f>IF(I33="mol/L",H33,(K33/1000)/G33)</f>
        <v>1.5E-5</v>
      </c>
      <c r="N33" s="178">
        <f t="shared" si="15"/>
        <v>-4.8239087409443187</v>
      </c>
      <c r="O33" s="58" t="s">
        <v>33</v>
      </c>
      <c r="P33" s="600" t="s">
        <v>511</v>
      </c>
      <c r="Q33" s="100">
        <f>VLOOKUP(P33,References!$B$7:$F$252,5,FALSE)</f>
        <v>36</v>
      </c>
    </row>
    <row r="34" spans="1:17" x14ac:dyDescent="0.2">
      <c r="A34" s="868"/>
      <c r="B34" s="869"/>
      <c r="C34" s="832"/>
      <c r="D34" s="832"/>
      <c r="E34" s="145" t="s">
        <v>58</v>
      </c>
      <c r="F34" s="58" t="s">
        <v>59</v>
      </c>
      <c r="G34" s="58">
        <v>314.10000000000002</v>
      </c>
      <c r="H34" s="354">
        <v>1E-4</v>
      </c>
      <c r="I34" s="58" t="s">
        <v>509</v>
      </c>
      <c r="J34" s="58" t="s">
        <v>512</v>
      </c>
      <c r="K34" s="433">
        <f>IF(I34="mg/L",H34,IF(I34="log-mg/L",10^H34,IF(I34="g/L",H34*1000,IF(I34="ug/L",H34/1000,IF(I34="ng/mL",H34/1000,IF(I34="mol/L",H34*G34*1000,IF(I34="log-mol/L",(10^(H34))*G34*1000)))))))</f>
        <v>31.41</v>
      </c>
      <c r="L34" s="178">
        <f t="shared" si="14"/>
        <v>1.4970679363985049</v>
      </c>
      <c r="M34" s="433">
        <f>IF(I34="mol/L",H34,(K34/1000)/G34)</f>
        <v>1E-4</v>
      </c>
      <c r="N34" s="178">
        <f t="shared" si="15"/>
        <v>-4</v>
      </c>
      <c r="O34" s="58" t="s">
        <v>33</v>
      </c>
      <c r="P34" s="600" t="s">
        <v>511</v>
      </c>
      <c r="Q34" s="100">
        <f>VLOOKUP(P34,References!$B$7:$F$252,5,FALSE)</f>
        <v>36</v>
      </c>
    </row>
    <row r="35" spans="1:17" x14ac:dyDescent="0.2">
      <c r="A35" s="868"/>
      <c r="B35" s="869"/>
      <c r="C35" s="832"/>
      <c r="D35" s="832"/>
      <c r="E35" s="145" t="s">
        <v>58</v>
      </c>
      <c r="F35" s="58" t="s">
        <v>59</v>
      </c>
      <c r="G35" s="58">
        <v>314.10000000000002</v>
      </c>
      <c r="H35" s="355">
        <v>6.6E-3</v>
      </c>
      <c r="I35" s="58" t="s">
        <v>509</v>
      </c>
      <c r="J35" s="58" t="s">
        <v>514</v>
      </c>
      <c r="K35" s="433">
        <f>IF(I35="mg/L",H35,IF(I35="log-mg/L",10^H35,IF(I35="g/L",H35*1000,IF(I35="ug/L",H35/1000,IF(I35="ng/mL",H35/1000,IF(I35="mol/L",H35*G35*1000,IF(I35="log-mol/L",(10^(H35))*G35*1000)))))))</f>
        <v>2073.0600000000004</v>
      </c>
      <c r="L35" s="178">
        <f t="shared" si="14"/>
        <v>3.3166118719403737</v>
      </c>
      <c r="M35" s="433">
        <f>IF(I35="mol/L",H35,(K35/1000)/G35)</f>
        <v>6.6E-3</v>
      </c>
      <c r="N35" s="178">
        <f t="shared" si="15"/>
        <v>-2.1804560644581312</v>
      </c>
      <c r="O35" s="58" t="s">
        <v>33</v>
      </c>
      <c r="P35" s="600" t="s">
        <v>511</v>
      </c>
      <c r="Q35" s="100">
        <f>VLOOKUP(P35,References!$B$7:$F$252,5,FALSE)</f>
        <v>36</v>
      </c>
    </row>
    <row r="36" spans="1:17" x14ac:dyDescent="0.2">
      <c r="A36" s="879"/>
      <c r="B36" s="851"/>
      <c r="C36" s="834"/>
      <c r="D36" s="834"/>
      <c r="E36" s="239" t="s">
        <v>58</v>
      </c>
      <c r="F36" s="59" t="s">
        <v>59</v>
      </c>
      <c r="G36" s="59">
        <v>314.10000000000002</v>
      </c>
      <c r="H36" s="327">
        <v>9.1100000000000005E-5</v>
      </c>
      <c r="I36" s="59" t="s">
        <v>509</v>
      </c>
      <c r="J36" s="59" t="s">
        <v>515</v>
      </c>
      <c r="K36" s="469">
        <f>IF(I36="mg/L",H36,IF(I36="log-mg/L",10^H36,IF(I36="g/L",H36*1000,IF(I36="ug/L",H36/1000,IF(I36="ng/mL",H36/1000,IF(I36="mol/L",H36*G36*1000,IF(I36="log-mol/L",(10^(H36))*G36*1000)))))))</f>
        <v>28.614510000000003</v>
      </c>
      <c r="L36" s="183">
        <f t="shared" si="14"/>
        <v>1.4565863133715031</v>
      </c>
      <c r="M36" s="469">
        <f>IF(I36="mol/L",H36,(K36/1000)/G36)</f>
        <v>9.1100000000000005E-5</v>
      </c>
      <c r="N36" s="183">
        <f t="shared" si="15"/>
        <v>-4.0404816230270013</v>
      </c>
      <c r="O36" s="59">
        <v>25</v>
      </c>
      <c r="P36" s="598" t="s">
        <v>511</v>
      </c>
      <c r="Q36" s="122">
        <f>VLOOKUP(P36,References!$B$7:$F$252,5,FALSE)</f>
        <v>36</v>
      </c>
    </row>
    <row r="37" spans="1:17" ht="15.75" customHeight="1" x14ac:dyDescent="0.2">
      <c r="A37" s="868" t="s">
        <v>66</v>
      </c>
      <c r="B37" s="869" t="s">
        <v>67</v>
      </c>
      <c r="C37" s="832">
        <v>364.1</v>
      </c>
      <c r="D37" s="832" t="s">
        <v>68</v>
      </c>
      <c r="E37" s="145" t="s">
        <v>67</v>
      </c>
      <c r="F37" s="58" t="s">
        <v>68</v>
      </c>
      <c r="G37" s="58">
        <v>364.1</v>
      </c>
      <c r="H37" s="58">
        <v>118000</v>
      </c>
      <c r="I37" s="58" t="s">
        <v>507</v>
      </c>
      <c r="J37" s="58" t="s">
        <v>27</v>
      </c>
      <c r="K37" s="433">
        <f>IF(I37="mg/L",H37,IF(I37="log-mg/L",10^H37,IF(I37="g/L",H37*1000,IF(I37="ug/L",H37/1000,IF(I37="ng/mL",H37/1000,IF(I37="mol/L",H37*G37*1000,IF(I37="log-mol/L",(10^(H37))*G37*1000)))))))</f>
        <v>118000</v>
      </c>
      <c r="L37" s="178">
        <f t="shared" si="14"/>
        <v>5.071882007306125</v>
      </c>
      <c r="M37" s="433">
        <f>IF(I37="mol/L",H37,(K37/1000)/G37)</f>
        <v>0.32408678934358692</v>
      </c>
      <c r="N37" s="178">
        <f t="shared" si="15"/>
        <v>-0.48933867162781841</v>
      </c>
      <c r="O37" s="58">
        <v>21.6</v>
      </c>
      <c r="P37" s="600" t="s">
        <v>526</v>
      </c>
      <c r="Q37" s="100">
        <f>VLOOKUP(P37,References!$B$7:$F$252,5,FALSE)</f>
        <v>58</v>
      </c>
    </row>
    <row r="38" spans="1:17" ht="15.75" customHeight="1" x14ac:dyDescent="0.2">
      <c r="A38" s="868"/>
      <c r="B38" s="869"/>
      <c r="C38" s="832"/>
      <c r="D38" s="832"/>
      <c r="E38" s="145" t="s">
        <v>67</v>
      </c>
      <c r="F38" s="58" t="s">
        <v>68</v>
      </c>
      <c r="G38" s="58">
        <v>364.1</v>
      </c>
      <c r="H38" s="58">
        <v>0.82</v>
      </c>
      <c r="I38" s="58" t="s">
        <v>518</v>
      </c>
      <c r="J38" s="58" t="s">
        <v>519</v>
      </c>
      <c r="K38" s="433">
        <f>IF(I38="mg/L",H38,IF(I38="log-mg/L",10^H38,IF(I38="g/L",H38*1000,IF(I38="ug/L",H38/1000,IF(I38="ng/mL",H38/1000,IF(I38="mol/L",H38*G39*1000,IF(I38="log-mol/L",(10^(H38))*G39*1000)))))))</f>
        <v>6.6069344800759611</v>
      </c>
      <c r="L38" s="178">
        <f t="shared" si="14"/>
        <v>0.82</v>
      </c>
      <c r="M38" s="433">
        <f>IF(I38="mol/L",H38,(K38/1000)/G39)</f>
        <v>1.8145933754671684E-5</v>
      </c>
      <c r="N38" s="178">
        <f t="shared" si="15"/>
        <v>-4.7412206789339439</v>
      </c>
      <c r="O38" s="58">
        <v>25</v>
      </c>
      <c r="P38" s="600" t="s">
        <v>520</v>
      </c>
      <c r="Q38" s="100">
        <f>VLOOKUP(P38,References!$B$7:$F$252,5,FALSE)</f>
        <v>14</v>
      </c>
    </row>
    <row r="39" spans="1:17" x14ac:dyDescent="0.2">
      <c r="A39" s="868"/>
      <c r="B39" s="869"/>
      <c r="C39" s="832"/>
      <c r="D39" s="832"/>
      <c r="E39" s="145" t="s">
        <v>67</v>
      </c>
      <c r="F39" s="58" t="s">
        <v>68</v>
      </c>
      <c r="G39" s="58">
        <v>364.1</v>
      </c>
      <c r="H39" s="58">
        <v>-1.94</v>
      </c>
      <c r="I39" s="58" t="s">
        <v>521</v>
      </c>
      <c r="J39" s="58" t="s">
        <v>522</v>
      </c>
      <c r="K39" s="433">
        <f>IF(I39="mg/L",H39,IF(I39="log-mg/L",10^H39,IF(I39="g/L",H39*1000,IF(I39="ug/L",H39/1000,IF(I39="ng/mL",H39/1000,IF(I39="mol/L",H39*G40*1000,IF(I39="log-mol/L",(10^(H39))*G40*1000)))))))</f>
        <v>4180.4273358701503</v>
      </c>
      <c r="L39" s="178">
        <f t="shared" si="14"/>
        <v>3.6212206789339438</v>
      </c>
      <c r="M39" s="433">
        <f>IF(I39="mol/L",H39,(K39/1000)/G40)</f>
        <v>1.1481536214968828E-2</v>
      </c>
      <c r="N39" s="178">
        <f t="shared" si="15"/>
        <v>-1.94</v>
      </c>
      <c r="O39" s="58" t="s">
        <v>33</v>
      </c>
      <c r="P39" s="600" t="s">
        <v>523</v>
      </c>
      <c r="Q39" s="100">
        <f>VLOOKUP(P39,References!$B$7:$F$252,5,FALSE)</f>
        <v>127</v>
      </c>
    </row>
    <row r="40" spans="1:17" x14ac:dyDescent="0.2">
      <c r="A40" s="868"/>
      <c r="B40" s="869"/>
      <c r="C40" s="832"/>
      <c r="D40" s="832"/>
      <c r="E40" s="145" t="s">
        <v>67</v>
      </c>
      <c r="F40" s="58" t="s">
        <v>68</v>
      </c>
      <c r="G40" s="58">
        <v>364.1</v>
      </c>
      <c r="H40" s="58">
        <v>-3.01</v>
      </c>
      <c r="I40" s="58" t="s">
        <v>521</v>
      </c>
      <c r="J40" s="58" t="s">
        <v>524</v>
      </c>
      <c r="K40" s="433">
        <f>IF(I40="mg/L",H40,IF(I40="log-mg/L",10^H40,IF(I40="g/L",H40*1000,IF(I40="ug/L",H40/1000,IF(I40="ng/mL",H40/1000,IF(I40="mol/L",H40*G38*1000,IF(I40="log-mol/L",(10^(H40))*G38*1000)))))))</f>
        <v>355.81207215001052</v>
      </c>
      <c r="L40" s="178">
        <f t="shared" ref="L40" si="20">IF(I40="log-mg/L",H40,LOG(K40))</f>
        <v>2.5512206789339436</v>
      </c>
      <c r="M40" s="433">
        <f>IF(I40="mol/L",H40,(K40/1000)/G38)</f>
        <v>9.7723722095581023E-4</v>
      </c>
      <c r="N40" s="178">
        <f t="shared" ref="N40" si="21">IF(I40="log-mol/L",H40,LOG(M40))</f>
        <v>-3.01</v>
      </c>
      <c r="O40" s="58">
        <v>25</v>
      </c>
      <c r="P40" s="600" t="s">
        <v>525</v>
      </c>
      <c r="Q40" s="100">
        <f>VLOOKUP(P40,References!$B$7:$F$252,5,FALSE)</f>
        <v>61</v>
      </c>
    </row>
    <row r="41" spans="1:17" x14ac:dyDescent="0.2">
      <c r="A41" s="868"/>
      <c r="B41" s="869"/>
      <c r="C41" s="832"/>
      <c r="D41" s="832"/>
      <c r="E41" s="145" t="s">
        <v>67</v>
      </c>
      <c r="F41" s="58" t="s">
        <v>68</v>
      </c>
      <c r="G41" s="58">
        <v>364.1</v>
      </c>
      <c r="H41" s="446">
        <v>437000</v>
      </c>
      <c r="I41" s="58" t="s">
        <v>507</v>
      </c>
      <c r="J41" s="58" t="s">
        <v>27</v>
      </c>
      <c r="K41" s="433">
        <f>IF(I41="mg/L",H41,IF(I41="log-mg/L",10^H41,IF(I41="g/L",H41*1000,IF(I41="ug/L",H41/1000,IF(I41="ng/mL",H41/1000,IF(I41="mol/L",H41*G39*1000,IF(I41="log-mol/L",(10^(H41))*G39*1000)))))))</f>
        <v>437000</v>
      </c>
      <c r="L41" s="178">
        <f t="shared" ref="L41" si="22">IF(I41="log-mg/L",H41,LOG(K41))</f>
        <v>5.6404814369704219</v>
      </c>
      <c r="M41" s="433">
        <f>IF(I41="mol/L",H41,(K41/1000)/G39)</f>
        <v>1.200219719857182</v>
      </c>
      <c r="N41" s="178">
        <f t="shared" ref="N41" si="23">IF(I41="log-mol/L",H41,LOG(M41))</f>
        <v>7.926075803647803E-2</v>
      </c>
      <c r="O41" s="58" t="s">
        <v>33</v>
      </c>
      <c r="P41" s="600" t="s">
        <v>47</v>
      </c>
      <c r="Q41" s="100">
        <f>VLOOKUP(P41,References!$B$7:$F$252,5,FALSE)</f>
        <v>3</v>
      </c>
    </row>
    <row r="42" spans="1:17" x14ac:dyDescent="0.2">
      <c r="A42" s="868"/>
      <c r="B42" s="869"/>
      <c r="C42" s="832"/>
      <c r="D42" s="832"/>
      <c r="E42" s="145" t="s">
        <v>67</v>
      </c>
      <c r="F42" s="58" t="s">
        <v>68</v>
      </c>
      <c r="G42" s="58">
        <v>364.1</v>
      </c>
      <c r="H42" s="354">
        <v>9.6899999999999996E-7</v>
      </c>
      <c r="I42" s="58" t="s">
        <v>509</v>
      </c>
      <c r="J42" s="58" t="s">
        <v>513</v>
      </c>
      <c r="K42" s="433">
        <f>IF(I42="mg/L",H42,IF(I42="log-mg/L",10^H42,IF(I42="g/L",H42*1000,IF(I42="ug/L",H42/1000,IF(I42="ng/mL",H42/1000,IF(I42="mol/L",H42*G42*1000,IF(I42="log-mol/L",(10^(H42))*G42*1000)))))))</f>
        <v>0.35281290000000004</v>
      </c>
      <c r="L42" s="178">
        <f t="shared" si="14"/>
        <v>-0.45245554401529087</v>
      </c>
      <c r="M42" s="433">
        <f>IF(I42="mol/L",H42,(K42/1000)/G42)</f>
        <v>9.6899999999999996E-7</v>
      </c>
      <c r="N42" s="178">
        <f t="shared" si="15"/>
        <v>-6.0136762229492344</v>
      </c>
      <c r="O42" s="58" t="s">
        <v>33</v>
      </c>
      <c r="P42" s="600" t="s">
        <v>511</v>
      </c>
      <c r="Q42" s="100">
        <f>VLOOKUP(P42,References!$B$7:$F$252,5,FALSE)</f>
        <v>36</v>
      </c>
    </row>
    <row r="43" spans="1:17" x14ac:dyDescent="0.2">
      <c r="A43" s="868"/>
      <c r="B43" s="869"/>
      <c r="C43" s="832"/>
      <c r="D43" s="832"/>
      <c r="E43" s="145" t="s">
        <v>67</v>
      </c>
      <c r="F43" s="58" t="s">
        <v>68</v>
      </c>
      <c r="G43" s="58">
        <v>364.1</v>
      </c>
      <c r="H43" s="354">
        <v>1.1800000000000001E-5</v>
      </c>
      <c r="I43" s="58" t="s">
        <v>509</v>
      </c>
      <c r="J43" s="58" t="s">
        <v>512</v>
      </c>
      <c r="K43" s="433">
        <f>IF(I43="mg/L",H43,IF(I43="log-mg/L",10^H43,IF(I43="g/L",H43*1000,IF(I43="ug/L",H43/1000,IF(I43="ng/mL",H43/1000,IF(I43="mol/L",H43*G43*1000,IF(I43="log-mol/L",(10^(H43))*G43*1000)))))))</f>
        <v>4.296380000000001</v>
      </c>
      <c r="L43" s="178">
        <f t="shared" si="14"/>
        <v>0.63310268624006927</v>
      </c>
      <c r="M43" s="433">
        <f>IF(I43="mol/L",H43,(K43/1000)/G43)</f>
        <v>1.1800000000000001E-5</v>
      </c>
      <c r="N43" s="178">
        <f t="shared" si="15"/>
        <v>-4.928117992693875</v>
      </c>
      <c r="O43" s="58" t="s">
        <v>33</v>
      </c>
      <c r="P43" s="600" t="s">
        <v>511</v>
      </c>
      <c r="Q43" s="100">
        <f>VLOOKUP(P43,References!$B$7:$F$252,5,FALSE)</f>
        <v>36</v>
      </c>
    </row>
    <row r="44" spans="1:17" x14ac:dyDescent="0.2">
      <c r="A44" s="868"/>
      <c r="B44" s="869"/>
      <c r="C44" s="832"/>
      <c r="D44" s="832"/>
      <c r="E44" s="145" t="s">
        <v>67</v>
      </c>
      <c r="F44" s="58" t="s">
        <v>68</v>
      </c>
      <c r="G44" s="58">
        <v>364.1</v>
      </c>
      <c r="H44" s="354">
        <v>2.5999999999999999E-3</v>
      </c>
      <c r="I44" s="58" t="s">
        <v>509</v>
      </c>
      <c r="J44" s="58" t="s">
        <v>514</v>
      </c>
      <c r="K44" s="433">
        <f>IF(I44="mg/L",H44,IF(I44="log-mg/L",10^H44,IF(I44="g/L",H44*1000,IF(I44="ug/L",H44/1000,IF(I44="ng/mL",H44/1000,IF(I44="mol/L",H44*G44*1000,IF(I44="log-mol/L",(10^(H44))*G44*1000)))))))</f>
        <v>946.66000000000008</v>
      </c>
      <c r="L44" s="178">
        <f t="shared" si="14"/>
        <v>2.976194026904762</v>
      </c>
      <c r="M44" s="433">
        <f>IF(I44="mol/L",H44,(K44/1000)/G44)</f>
        <v>2.5999999999999999E-3</v>
      </c>
      <c r="N44" s="178">
        <f t="shared" si="15"/>
        <v>-2.5850266520291822</v>
      </c>
      <c r="O44" s="58" t="s">
        <v>33</v>
      </c>
      <c r="P44" s="600" t="s">
        <v>511</v>
      </c>
      <c r="Q44" s="100">
        <f>VLOOKUP(P44,References!$B$7:$F$252,5,FALSE)</f>
        <v>36</v>
      </c>
    </row>
    <row r="45" spans="1:17" x14ac:dyDescent="0.2">
      <c r="A45" s="868"/>
      <c r="B45" s="869"/>
      <c r="C45" s="832"/>
      <c r="D45" s="834"/>
      <c r="E45" s="239" t="s">
        <v>67</v>
      </c>
      <c r="F45" s="59" t="s">
        <v>68</v>
      </c>
      <c r="G45" s="59">
        <v>364.1</v>
      </c>
      <c r="H45" s="59">
        <v>0.31900000000000001</v>
      </c>
      <c r="I45" s="59" t="s">
        <v>509</v>
      </c>
      <c r="J45" s="59" t="s">
        <v>515</v>
      </c>
      <c r="K45" s="469">
        <f>IF(I45="mg/L",H45,IF(I45="log-mg/L",10^H45,IF(I45="g/L",H45*1000,IF(I45="ug/L",H45/1000,IF(I45="ng/mL",H45/1000,IF(I45="mol/L",H45*G45*1000,IF(I45="log-mol/L",(10^(H45))*G45*1000)))))))</f>
        <v>116147.90000000001</v>
      </c>
      <c r="L45" s="183">
        <f t="shared" si="14"/>
        <v>5.0650113619911252</v>
      </c>
      <c r="M45" s="469">
        <f>IF(I45="mol/L",H45,(K45/1000)/G45)</f>
        <v>0.31900000000000001</v>
      </c>
      <c r="N45" s="183">
        <f t="shared" si="15"/>
        <v>-0.49620931694281889</v>
      </c>
      <c r="O45" s="59">
        <v>25</v>
      </c>
      <c r="P45" s="598" t="s">
        <v>511</v>
      </c>
      <c r="Q45" s="122">
        <f>VLOOKUP(P45,References!$B$7:$F$252,5,FALSE)</f>
        <v>36</v>
      </c>
    </row>
    <row r="46" spans="1:17" x14ac:dyDescent="0.2">
      <c r="A46" s="867" t="s">
        <v>77</v>
      </c>
      <c r="B46" s="850" t="s">
        <v>78</v>
      </c>
      <c r="C46" s="833">
        <v>414.1</v>
      </c>
      <c r="D46" s="833" t="s">
        <v>79</v>
      </c>
      <c r="E46" s="151" t="s">
        <v>78</v>
      </c>
      <c r="F46" s="57" t="s">
        <v>79</v>
      </c>
      <c r="G46" s="57">
        <v>414.1</v>
      </c>
      <c r="H46" s="58">
        <v>2.3E-2</v>
      </c>
      <c r="I46" s="58" t="s">
        <v>509</v>
      </c>
      <c r="J46" s="58" t="s">
        <v>27</v>
      </c>
      <c r="K46" s="433">
        <f>IF(I46="mg/L",H46,IF(I46="log-mg/L",10^H46,IF(I46="g/L",H46*1000,IF(I46="ug/L",H46/1000,IF(I46="ng/mL",H46/1000,IF(I46="mol/L",H46*G49*1000,IF(I46="log-mol/L",(10^(H46))*G49*1000)))))))</f>
        <v>9524.3000000000011</v>
      </c>
      <c r="L46" s="178">
        <f>IF(I46="log-mg/L",H46,LOG(K46))</f>
        <v>3.9788330665199712</v>
      </c>
      <c r="M46" s="433">
        <f>IF(I46="mol/L",H46,(K46/1000)/G49)</f>
        <v>2.3E-2</v>
      </c>
      <c r="N46" s="178">
        <f>IF(I46="log-mol/L",H46,LOG(M46))</f>
        <v>-1.6382721639824072</v>
      </c>
      <c r="O46" s="58">
        <v>25</v>
      </c>
      <c r="P46" s="600" t="s">
        <v>28</v>
      </c>
      <c r="Q46" s="100">
        <f>VLOOKUP(P46,References!$B$7:$F$252,5,FALSE)</f>
        <v>60</v>
      </c>
    </row>
    <row r="47" spans="1:17" x14ac:dyDescent="0.2">
      <c r="A47" s="868"/>
      <c r="B47" s="869"/>
      <c r="C47" s="832"/>
      <c r="D47" s="832"/>
      <c r="E47" s="145" t="s">
        <v>78</v>
      </c>
      <c r="F47" s="58" t="s">
        <v>79</v>
      </c>
      <c r="G47" s="58">
        <v>414.1</v>
      </c>
      <c r="H47" s="58">
        <v>3.4</v>
      </c>
      <c r="I47" s="58" t="s">
        <v>527</v>
      </c>
      <c r="J47" s="58" t="s">
        <v>27</v>
      </c>
      <c r="K47" s="433">
        <f>IF(I47="mg/L",H47,IF(I47="log-mg/L",10^H47,IF(I47="g/L",H47*1000,IF(I47="ug/L",H47/1000,IF(I47="ng/mL",H47/1000,IF(I47="mol/L",H47*G50*1000,IF(I47="log-mol/L",(10^(H47))*G50*1000)))))))</f>
        <v>3400</v>
      </c>
      <c r="L47" s="178">
        <f t="shared" ref="L47" si="24">IF(I47="log-mg/L",H47,LOG(K47))</f>
        <v>3.5314789170422549</v>
      </c>
      <c r="M47" s="433">
        <f>IF(I47="mol/L",H47,(K47/1000)/G50)</f>
        <v>8.2105771552765019E-3</v>
      </c>
      <c r="N47" s="178">
        <f t="shared" ref="N47" si="25">IF(I47="log-mol/L",H47,LOG(M47))</f>
        <v>-2.0856263134601232</v>
      </c>
      <c r="O47" s="58" t="s">
        <v>33</v>
      </c>
      <c r="P47" s="600" t="s">
        <v>82</v>
      </c>
      <c r="Q47" s="100">
        <f>VLOOKUP(P47,References!$B$7:$F$252,5,FALSE)</f>
        <v>2</v>
      </c>
    </row>
    <row r="48" spans="1:17" x14ac:dyDescent="0.2">
      <c r="A48" s="868"/>
      <c r="B48" s="869"/>
      <c r="C48" s="832"/>
      <c r="D48" s="832"/>
      <c r="E48" s="145" t="s">
        <v>78</v>
      </c>
      <c r="F48" s="58" t="s">
        <v>79</v>
      </c>
      <c r="G48" s="58">
        <v>414.1</v>
      </c>
      <c r="H48" s="350">
        <v>9.5</v>
      </c>
      <c r="I48" s="58" t="s">
        <v>527</v>
      </c>
      <c r="J48" s="58" t="s">
        <v>27</v>
      </c>
      <c r="K48" s="433">
        <f>IF(I48="mg/L",H48,IF(I48="log-mg/L",10^H48,IF(I48="g/L",H48*1000,IF(I48="ug/L",H48/1000,IF(I48="ng/mL",H48/1000,IF(I48="mol/L",H48*G54*1000,IF(I48="log-mol/L",(10^(H48))*G54*1000)))))))</f>
        <v>9500</v>
      </c>
      <c r="L48" s="178">
        <f>IF(I48="log-mg/L",H48,LOG(K48))</f>
        <v>3.9777236052888476</v>
      </c>
      <c r="M48" s="433">
        <f>IF(I48="mol/L",H48,(K48/1000)/G54)</f>
        <v>2.2941318522096112E-2</v>
      </c>
      <c r="N48" s="178">
        <f>IF(I48="log-mol/L",H48,LOG(M48))</f>
        <v>-1.6393816252135303</v>
      </c>
      <c r="O48" s="58" t="s">
        <v>33</v>
      </c>
      <c r="P48" s="600" t="s">
        <v>528</v>
      </c>
      <c r="Q48" s="100">
        <f>VLOOKUP(P48,References!$B$7:$F$252,5,FALSE)</f>
        <v>47</v>
      </c>
    </row>
    <row r="49" spans="1:17" x14ac:dyDescent="0.2">
      <c r="A49" s="868"/>
      <c r="B49" s="869"/>
      <c r="C49" s="832"/>
      <c r="D49" s="832"/>
      <c r="E49" s="145" t="s">
        <v>78</v>
      </c>
      <c r="F49" s="58" t="s">
        <v>79</v>
      </c>
      <c r="G49" s="58">
        <v>414.1</v>
      </c>
      <c r="H49" s="58">
        <v>4340</v>
      </c>
      <c r="I49" s="58" t="s">
        <v>507</v>
      </c>
      <c r="J49" s="58" t="s">
        <v>27</v>
      </c>
      <c r="K49" s="433">
        <f>IF(I49="mg/L",H49,IF(I49="log-mg/L",10^H49,IF(I49="g/L",H49*1000,IF(I49="ug/L",H49/1000,IF(I49="ng/mL",H49/1000,IF(I49="mol/L",H49*G46*1000,IF(I49="log-mol/L",(10^(H49))*G46*1000)))))))</f>
        <v>4340</v>
      </c>
      <c r="L49" s="178">
        <f t="shared" si="14"/>
        <v>3.6374897295125108</v>
      </c>
      <c r="M49" s="433">
        <f>IF(I49="mol/L",H49,(K49/1000)/G46)</f>
        <v>1.0480560251147065E-2</v>
      </c>
      <c r="N49" s="178">
        <f t="shared" si="15"/>
        <v>-1.9796155009898675</v>
      </c>
      <c r="O49" s="58">
        <v>24.1</v>
      </c>
      <c r="P49" s="600" t="s">
        <v>526</v>
      </c>
      <c r="Q49" s="100">
        <f>VLOOKUP(P49,References!$B$7:$F$252,5,FALSE)</f>
        <v>58</v>
      </c>
    </row>
    <row r="50" spans="1:17" x14ac:dyDescent="0.2">
      <c r="A50" s="868"/>
      <c r="B50" s="869"/>
      <c r="C50" s="832"/>
      <c r="D50" s="832"/>
      <c r="E50" s="145" t="s">
        <v>78</v>
      </c>
      <c r="F50" s="58" t="s">
        <v>79</v>
      </c>
      <c r="G50" s="58">
        <v>414.1</v>
      </c>
      <c r="H50" s="58">
        <v>-2.02</v>
      </c>
      <c r="I50" s="58" t="s">
        <v>518</v>
      </c>
      <c r="J50" s="58" t="s">
        <v>27</v>
      </c>
      <c r="K50" s="433">
        <f>IF(I50="mg/L",H50,IF(I50="log-mg/L",10^H50,IF(I50="g/L",H50*1000,IF(I50="ug/L",H50/1000,IF(I50="ng/mL",H50/1000,IF(I50="mol/L",H50*G51*1000,IF(I50="log-mol/L",(10^(H50))*G51*1000)))))))</f>
        <v>9.5499258602143571E-3</v>
      </c>
      <c r="L50" s="178">
        <f t="shared" si="14"/>
        <v>-2.02</v>
      </c>
      <c r="M50" s="433">
        <f>IF(I50="mol/L",H50,(K50/1000)/G51)</f>
        <v>2.3061883265429501E-8</v>
      </c>
      <c r="N50" s="178">
        <f t="shared" si="15"/>
        <v>-7.6371052305023781</v>
      </c>
      <c r="O50" s="58">
        <v>25</v>
      </c>
      <c r="P50" s="600" t="s">
        <v>520</v>
      </c>
      <c r="Q50" s="100">
        <f>VLOOKUP(P50,References!$B$7:$F$252,5,FALSE)</f>
        <v>14</v>
      </c>
    </row>
    <row r="51" spans="1:17" x14ac:dyDescent="0.2">
      <c r="A51" s="868"/>
      <c r="B51" s="869"/>
      <c r="C51" s="832"/>
      <c r="D51" s="832"/>
      <c r="E51" s="145" t="s">
        <v>78</v>
      </c>
      <c r="F51" s="58" t="s">
        <v>79</v>
      </c>
      <c r="G51" s="58">
        <v>414.1</v>
      </c>
      <c r="H51" s="58">
        <v>0.24</v>
      </c>
      <c r="I51" s="58" t="s">
        <v>518</v>
      </c>
      <c r="J51" s="58" t="s">
        <v>519</v>
      </c>
      <c r="K51" s="433">
        <f>IF(I51="mg/L",H51,IF(I51="log-mg/L",10^H51,IF(I51="g/L",H51*1000,IF(I51="ug/L",H51/1000,IF(I51="ng/mL",H51/1000,IF(I51="mol/L",H51*G52*1000,IF(I51="log-mol/L",(10^(H51))*G52*1000)))))))</f>
        <v>1.7378008287493756</v>
      </c>
      <c r="L51" s="178">
        <f t="shared" si="14"/>
        <v>0.24</v>
      </c>
      <c r="M51" s="433">
        <f>IF(I51="mol/L",H51,(K51/1000)/G52)</f>
        <v>4.1965728779265291E-6</v>
      </c>
      <c r="N51" s="178">
        <f t="shared" si="15"/>
        <v>-5.3771052305023783</v>
      </c>
      <c r="O51" s="58">
        <v>25</v>
      </c>
      <c r="P51" s="600" t="s">
        <v>520</v>
      </c>
      <c r="Q51" s="100">
        <f>VLOOKUP(P51,References!$B$7:$F$252,5,FALSE)</f>
        <v>14</v>
      </c>
    </row>
    <row r="52" spans="1:17" x14ac:dyDescent="0.2">
      <c r="A52" s="868"/>
      <c r="B52" s="869"/>
      <c r="C52" s="832"/>
      <c r="D52" s="832"/>
      <c r="E52" s="145" t="s">
        <v>78</v>
      </c>
      <c r="F52" s="58" t="s">
        <v>79</v>
      </c>
      <c r="G52" s="58">
        <v>414.1</v>
      </c>
      <c r="H52" s="58">
        <v>-2.73</v>
      </c>
      <c r="I52" s="58" t="s">
        <v>521</v>
      </c>
      <c r="J52" s="58" t="s">
        <v>522</v>
      </c>
      <c r="K52" s="433">
        <f>IF(I52="mg/L",H52,IF(I52="log-mg/L",10^H52,IF(I52="g/L",H52*1000,IF(I52="ug/L",H52/1000,IF(I52="ng/mL",H52/1000,IF(I52="mol/L",H52*G53*1000,IF(I52="log-mol/L",(10^(H52))*G53*1000)))))))</f>
        <v>771.09028329209309</v>
      </c>
      <c r="L52" s="178">
        <f t="shared" si="14"/>
        <v>2.8871052305023781</v>
      </c>
      <c r="M52" s="433">
        <f>IF(I52="mol/L",H52,(K52/1000)/G53)</f>
        <v>1.8620871366628665E-3</v>
      </c>
      <c r="N52" s="178">
        <f t="shared" si="15"/>
        <v>-2.73</v>
      </c>
      <c r="O52" s="58" t="s">
        <v>33</v>
      </c>
      <c r="P52" s="600" t="s">
        <v>523</v>
      </c>
      <c r="Q52" s="100">
        <f>VLOOKUP(P52,References!$B$7:$F$252,5,FALSE)</f>
        <v>127</v>
      </c>
    </row>
    <row r="53" spans="1:17" x14ac:dyDescent="0.2">
      <c r="A53" s="868"/>
      <c r="B53" s="869"/>
      <c r="C53" s="832"/>
      <c r="D53" s="832"/>
      <c r="E53" s="145" t="s">
        <v>78</v>
      </c>
      <c r="F53" s="58" t="s">
        <v>79</v>
      </c>
      <c r="G53" s="58">
        <v>414.1</v>
      </c>
      <c r="H53" s="58">
        <v>3300</v>
      </c>
      <c r="I53" s="58" t="s">
        <v>507</v>
      </c>
      <c r="J53" s="58" t="s">
        <v>27</v>
      </c>
      <c r="K53" s="433">
        <f>IF(I53="mg/L",H53,IF(I53="log-mg/L",10^H53,IF(I53="g/L",H53*1000,IF(I53="ug/L",H53/1000,IF(I53="ng/mL",H53/1000,IF(I53="mol/L",H53*G48*1000,IF(I53="log-mol/L",(10^(H53))*G48*1000)))))))</f>
        <v>3300</v>
      </c>
      <c r="L53" s="178">
        <f>IF(I53="log-mg/L",H53,LOG(K53))</f>
        <v>3.5185139398778875</v>
      </c>
      <c r="M53" s="433">
        <f>IF(I53="mol/L",H53,(K53/1000)/G48)</f>
        <v>7.9690895918860163E-3</v>
      </c>
      <c r="N53" s="178">
        <f>IF(I53="log-mol/L",H53,LOG(M53))</f>
        <v>-2.0985912906244906</v>
      </c>
      <c r="O53" s="58">
        <v>25</v>
      </c>
      <c r="P53" s="600" t="s">
        <v>529</v>
      </c>
      <c r="Q53" s="100">
        <f>VLOOKUP(P53,References!$B$7:$F$252,5,FALSE)</f>
        <v>52</v>
      </c>
    </row>
    <row r="54" spans="1:17" x14ac:dyDescent="0.2">
      <c r="A54" s="868"/>
      <c r="B54" s="869"/>
      <c r="C54" s="832"/>
      <c r="D54" s="832"/>
      <c r="E54" s="145" t="s">
        <v>78</v>
      </c>
      <c r="F54" s="58" t="s">
        <v>79</v>
      </c>
      <c r="G54" s="58">
        <v>414.1</v>
      </c>
      <c r="H54" s="58">
        <v>-3.81</v>
      </c>
      <c r="I54" s="58" t="s">
        <v>521</v>
      </c>
      <c r="J54" s="58" t="s">
        <v>524</v>
      </c>
      <c r="K54" s="433">
        <f>IF(I54="mg/L",H54,IF(I54="log-mg/L",10^H54,IF(I54="g/L",H54*1000,IF(I54="ug/L",H54/1000,IF(I54="ng/mL",H54/1000,IF(I54="mol/L",H54*G47*1000,IF(I54="log-mol/L",(10^(H54))*G47*1000)))))))</f>
        <v>64.136496189165783</v>
      </c>
      <c r="L54" s="178">
        <f t="shared" ref="L54:L55" si="26">IF(I54="log-mg/L",H54,LOG(K54))</f>
        <v>1.8071052305023776</v>
      </c>
      <c r="M54" s="433">
        <f>IF(I54="mol/L",H54,(K54/1000)/G47)</f>
        <v>1.5488166189124794E-4</v>
      </c>
      <c r="N54" s="178">
        <f t="shared" ref="N54:N55" si="27">IF(I54="log-mol/L",H54,LOG(M54))</f>
        <v>-3.81</v>
      </c>
      <c r="O54" s="58">
        <v>25</v>
      </c>
      <c r="P54" s="600" t="s">
        <v>525</v>
      </c>
      <c r="Q54" s="100">
        <f>VLOOKUP(P54,References!$B$7:$F$252,5,FALSE)</f>
        <v>61</v>
      </c>
    </row>
    <row r="55" spans="1:17" x14ac:dyDescent="0.2">
      <c r="A55" s="868"/>
      <c r="B55" s="869"/>
      <c r="C55" s="832"/>
      <c r="D55" s="832"/>
      <c r="E55" s="145" t="s">
        <v>78</v>
      </c>
      <c r="F55" s="58" t="s">
        <v>79</v>
      </c>
      <c r="G55" s="58">
        <v>414.1</v>
      </c>
      <c r="H55" s="145">
        <v>9500</v>
      </c>
      <c r="I55" s="145" t="s">
        <v>507</v>
      </c>
      <c r="J55" s="145" t="s">
        <v>27</v>
      </c>
      <c r="K55" s="433">
        <f>IF(I55="mg/L",H55,IF(I55="log-mg/L",10^H55,IF(I55="g/L",H55*1000,IF(I55="ug/L",H55/1000,IF(I55="ng/mL",H55/1000,IF(I55="mol/L",H55*G51*1000,IF(I55="log-mol/L",(10^(H55))*G51*1000)))))))</f>
        <v>9500</v>
      </c>
      <c r="L55" s="133">
        <f t="shared" si="26"/>
        <v>3.9777236052888476</v>
      </c>
      <c r="M55" s="433">
        <f>IF(I55="mol/L",H55,(K55/1000)/G51)</f>
        <v>2.2941318522096112E-2</v>
      </c>
      <c r="N55" s="133">
        <f t="shared" si="27"/>
        <v>-1.6393816252135303</v>
      </c>
      <c r="O55" s="145">
        <v>25</v>
      </c>
      <c r="P55" s="737" t="s">
        <v>47</v>
      </c>
      <c r="Q55" s="100">
        <f>VLOOKUP(P55,References!$B$7:$F$252,5,FALSE)</f>
        <v>3</v>
      </c>
    </row>
    <row r="56" spans="1:17" x14ac:dyDescent="0.2">
      <c r="A56" s="868"/>
      <c r="B56" s="869"/>
      <c r="C56" s="832"/>
      <c r="D56" s="832"/>
      <c r="E56" s="145" t="s">
        <v>78</v>
      </c>
      <c r="F56" s="58" t="s">
        <v>79</v>
      </c>
      <c r="G56" s="58">
        <v>414.1</v>
      </c>
      <c r="H56" s="145">
        <v>4500</v>
      </c>
      <c r="I56" s="145" t="s">
        <v>507</v>
      </c>
      <c r="J56" s="145" t="s">
        <v>27</v>
      </c>
      <c r="K56" s="433">
        <f>IF(I56="mg/L",H56,IF(I56="log-mg/L",10^H56,IF(I56="g/L",H56*1000,IF(I56="ug/L",H56/1000,IF(I56="ng/mL",H56/1000,IF(I56="mol/L",H56*G52*1000,IF(I56="log-mol/L",(10^(H56))*G52*1000)))))))</f>
        <v>4500</v>
      </c>
      <c r="L56" s="133">
        <f t="shared" ref="L56" si="28">IF(I56="log-mg/L",H56,LOG(K56))</f>
        <v>3.6532125137753435</v>
      </c>
      <c r="M56" s="433">
        <f>IF(I56="mol/L",H56,(K56/1000)/G52)</f>
        <v>1.0866940352571842E-2</v>
      </c>
      <c r="N56" s="133">
        <f t="shared" ref="N56" si="29">IF(I56="log-mol/L",H56,LOG(M56))</f>
        <v>-1.9638927167270344</v>
      </c>
      <c r="O56" s="145" t="s">
        <v>33</v>
      </c>
      <c r="P56" s="737" t="s">
        <v>530</v>
      </c>
      <c r="Q56" s="100">
        <f>VLOOKUP(P56,References!$B$7:$F$252,5,FALSE)</f>
        <v>63</v>
      </c>
    </row>
    <row r="57" spans="1:17" x14ac:dyDescent="0.2">
      <c r="A57" s="868"/>
      <c r="B57" s="869"/>
      <c r="C57" s="832"/>
      <c r="D57" s="832"/>
      <c r="E57" s="145" t="s">
        <v>78</v>
      </c>
      <c r="F57" s="58" t="s">
        <v>79</v>
      </c>
      <c r="G57" s="58">
        <v>414.1</v>
      </c>
      <c r="H57" s="354">
        <v>6.2699999999999999E-8</v>
      </c>
      <c r="I57" s="58" t="s">
        <v>509</v>
      </c>
      <c r="J57" s="58" t="s">
        <v>513</v>
      </c>
      <c r="K57" s="433">
        <f>IF(I57="mg/L",H57,IF(I57="log-mg/L",10^H57,IF(I57="g/L",H57*1000,IF(I57="ug/L",H57/1000,IF(I57="ng/mL",H57/1000,IF(I57="mol/L",H57*G57*1000,IF(I57="log-mol/L",(10^(H57))*G57*1000)))))))</f>
        <v>2.5964070000000002E-2</v>
      </c>
      <c r="L57" s="178">
        <f t="shared" si="14"/>
        <v>-1.5856272286669055</v>
      </c>
      <c r="M57" s="433">
        <f>IF(I57="mol/L",H57,(K57/1000)/G57)</f>
        <v>6.2699999999999999E-8</v>
      </c>
      <c r="N57" s="178">
        <f t="shared" si="15"/>
        <v>-7.2027324591692832</v>
      </c>
      <c r="O57" s="58" t="s">
        <v>33</v>
      </c>
      <c r="P57" s="600" t="s">
        <v>511</v>
      </c>
      <c r="Q57" s="100">
        <f>VLOOKUP(P57,References!$B$7:$F$252,5,FALSE)</f>
        <v>36</v>
      </c>
    </row>
    <row r="58" spans="1:17" x14ac:dyDescent="0.2">
      <c r="A58" s="868"/>
      <c r="B58" s="869"/>
      <c r="C58" s="832"/>
      <c r="D58" s="832"/>
      <c r="E58" s="145" t="s">
        <v>78</v>
      </c>
      <c r="F58" s="58" t="s">
        <v>79</v>
      </c>
      <c r="G58" s="58">
        <v>414.1</v>
      </c>
      <c r="H58" s="354">
        <v>4.7299999999999996E-6</v>
      </c>
      <c r="I58" s="58" t="s">
        <v>509</v>
      </c>
      <c r="J58" s="58" t="s">
        <v>512</v>
      </c>
      <c r="K58" s="433">
        <f>IF(I58="mg/L",H58,IF(I58="log-mg/L",10^H58,IF(I58="g/L",H58*1000,IF(I58="ug/L",H58/1000,IF(I58="ng/mL",H58/1000,IF(I58="mol/L",H58*G58*1000,IF(I58="log-mol/L",(10^(H58))*G58*1000)))))))</f>
        <v>1.958693</v>
      </c>
      <c r="L58" s="178">
        <f t="shared" si="14"/>
        <v>0.29196637124018965</v>
      </c>
      <c r="M58" s="433">
        <f>IF(I58="mol/L",H58,(K58/1000)/G58)</f>
        <v>4.7299999999999996E-6</v>
      </c>
      <c r="N58" s="178">
        <f t="shared" si="15"/>
        <v>-5.3251388592621884</v>
      </c>
      <c r="O58" s="58" t="s">
        <v>33</v>
      </c>
      <c r="P58" s="600" t="s">
        <v>511</v>
      </c>
      <c r="Q58" s="100">
        <f>VLOOKUP(P58,References!$B$7:$F$252,5,FALSE)</f>
        <v>36</v>
      </c>
    </row>
    <row r="59" spans="1:17" x14ac:dyDescent="0.2">
      <c r="A59" s="868"/>
      <c r="B59" s="869"/>
      <c r="C59" s="832"/>
      <c r="D59" s="832"/>
      <c r="E59" s="145" t="s">
        <v>78</v>
      </c>
      <c r="F59" s="58" t="s">
        <v>79</v>
      </c>
      <c r="G59" s="58">
        <v>414.1</v>
      </c>
      <c r="H59" s="354">
        <v>1.1000000000000001E-3</v>
      </c>
      <c r="I59" s="58" t="s">
        <v>509</v>
      </c>
      <c r="J59" s="58" t="s">
        <v>514</v>
      </c>
      <c r="K59" s="433">
        <f>IF(I59="mg/L",H59,IF(I59="log-mg/L",10^H59,IF(I59="g/L",H59*1000,IF(I59="ug/L",H59/1000,IF(I59="ng/mL",H59/1000,IF(I59="mol/L",H59*G59*1000,IF(I59="log-mol/L",(10^(H59))*G59*1000)))))))</f>
        <v>455.51000000000005</v>
      </c>
      <c r="L59" s="178">
        <f t="shared" si="14"/>
        <v>2.658497915660603</v>
      </c>
      <c r="M59" s="433">
        <f>IF(I59="mol/L",H59,(K59/1000)/G59)</f>
        <v>1.1000000000000001E-3</v>
      </c>
      <c r="N59" s="178">
        <f t="shared" si="15"/>
        <v>-2.9586073148417751</v>
      </c>
      <c r="O59" s="58" t="s">
        <v>33</v>
      </c>
      <c r="P59" s="600" t="s">
        <v>511</v>
      </c>
      <c r="Q59" s="100">
        <f>VLOOKUP(P59,References!$B$7:$F$252,5,FALSE)</f>
        <v>36</v>
      </c>
    </row>
    <row r="60" spans="1:17" x14ac:dyDescent="0.2">
      <c r="A60" s="879"/>
      <c r="B60" s="851"/>
      <c r="C60" s="834"/>
      <c r="D60" s="834"/>
      <c r="E60" s="239" t="s">
        <v>78</v>
      </c>
      <c r="F60" s="59" t="s">
        <v>79</v>
      </c>
      <c r="G60" s="59">
        <v>414.1</v>
      </c>
      <c r="H60" s="326">
        <v>3.32E-2</v>
      </c>
      <c r="I60" s="59" t="s">
        <v>509</v>
      </c>
      <c r="J60" s="59" t="s">
        <v>515</v>
      </c>
      <c r="K60" s="469">
        <f>IF(I60="mg/L",H60,IF(I60="log-mg/L",10^H60,IF(I60="g/L",H60*1000,IF(I60="ug/L",H60/1000,IF(I60="ng/mL",H60/1000,IF(I60="mol/L",H60*G60*1000,IF(I60="log-mol/L",(10^(H60))*G60*1000)))))))</f>
        <v>13748.12</v>
      </c>
      <c r="L60" s="183">
        <f t="shared" si="14"/>
        <v>4.1382433142064148</v>
      </c>
      <c r="M60" s="469">
        <f>IF(I60="mol/L",H60,(K60/1000)/G60)</f>
        <v>3.32E-2</v>
      </c>
      <c r="N60" s="183">
        <f t="shared" si="15"/>
        <v>-1.4788619162959638</v>
      </c>
      <c r="O60" s="59">
        <v>25</v>
      </c>
      <c r="P60" s="598" t="s">
        <v>511</v>
      </c>
      <c r="Q60" s="122">
        <f>VLOOKUP(P60,References!$B$7:$F$252,5,FALSE)</f>
        <v>36</v>
      </c>
    </row>
    <row r="61" spans="1:17" x14ac:dyDescent="0.2">
      <c r="A61" s="868" t="s">
        <v>86</v>
      </c>
      <c r="B61" s="869" t="s">
        <v>87</v>
      </c>
      <c r="C61" s="832">
        <v>464.1</v>
      </c>
      <c r="D61" s="832" t="s">
        <v>88</v>
      </c>
      <c r="E61" s="145" t="s">
        <v>87</v>
      </c>
      <c r="F61" s="145" t="s">
        <v>88</v>
      </c>
      <c r="G61" s="145">
        <v>464.1</v>
      </c>
      <c r="H61" s="145">
        <v>-0.74</v>
      </c>
      <c r="I61" s="145" t="s">
        <v>518</v>
      </c>
      <c r="J61" s="145" t="s">
        <v>519</v>
      </c>
      <c r="K61" s="433">
        <f>IF(I61="mg/L",H61,IF(I61="log-mg/L",10^H61,IF(I61="g/L",H61*1000,IF(I61="ug/L",H61/1000,IF(I61="ng/mL",H61/1000,IF(I61="mol/L",H61*G61*1000,IF(I61="log-mol/L",(10^(H61))*G61*1000)))))))</f>
        <v>0.18197008586099833</v>
      </c>
      <c r="L61" s="133">
        <f t="shared" si="14"/>
        <v>-0.74</v>
      </c>
      <c r="M61" s="433">
        <f>IF(I61="mol/L",H61,(K61/1000)/G61)</f>
        <v>3.9209240650936936E-7</v>
      </c>
      <c r="N61" s="133">
        <f t="shared" si="15"/>
        <v>-6.4066115684190299</v>
      </c>
      <c r="O61" s="145">
        <v>25</v>
      </c>
      <c r="P61" s="737" t="s">
        <v>520</v>
      </c>
      <c r="Q61" s="100">
        <f>VLOOKUP(P61,References!$B$7:$F$252,5,FALSE)</f>
        <v>14</v>
      </c>
    </row>
    <row r="62" spans="1:17" x14ac:dyDescent="0.2">
      <c r="A62" s="868"/>
      <c r="B62" s="869"/>
      <c r="C62" s="832"/>
      <c r="D62" s="832"/>
      <c r="E62" s="145" t="s">
        <v>87</v>
      </c>
      <c r="F62" s="145" t="s">
        <v>88</v>
      </c>
      <c r="G62" s="145">
        <v>464.1</v>
      </c>
      <c r="H62" s="145">
        <v>-3.55</v>
      </c>
      <c r="I62" s="145" t="s">
        <v>521</v>
      </c>
      <c r="J62" s="145" t="s">
        <v>522</v>
      </c>
      <c r="K62" s="433">
        <f>IF(I62="mg/L",H62,IF(I62="log-mg/L",10^H62,IF(I62="g/L",H62*1000,IF(I62="ug/L",H62/1000,IF(I62="ng/mL",H62/1000,IF(I62="mol/L",H62*G63*1000,IF(I62="log-mol/L",(10^(H62))*G63*1000)))))))</f>
        <v>130.80115183998333</v>
      </c>
      <c r="L62" s="133">
        <f t="shared" si="14"/>
        <v>2.1166115684190299</v>
      </c>
      <c r="M62" s="433">
        <f>IF(I62="mol/L",H62,(K62/1000)/G63)</f>
        <v>2.8183829312644545E-4</v>
      </c>
      <c r="N62" s="133">
        <f t="shared" si="15"/>
        <v>-3.55</v>
      </c>
      <c r="O62" s="145" t="s">
        <v>33</v>
      </c>
      <c r="P62" s="737" t="s">
        <v>523</v>
      </c>
      <c r="Q62" s="100">
        <f>VLOOKUP(P62,References!$B$7:$F$252,5,FALSE)</f>
        <v>127</v>
      </c>
    </row>
    <row r="63" spans="1:17" x14ac:dyDescent="0.2">
      <c r="A63" s="868"/>
      <c r="B63" s="869"/>
      <c r="C63" s="832"/>
      <c r="D63" s="832"/>
      <c r="E63" s="145" t="s">
        <v>87</v>
      </c>
      <c r="F63" s="145" t="s">
        <v>88</v>
      </c>
      <c r="G63" s="145">
        <v>464.1</v>
      </c>
      <c r="H63" s="145">
        <v>-4.5999999999999996</v>
      </c>
      <c r="I63" s="145" t="s">
        <v>521</v>
      </c>
      <c r="J63" s="145" t="s">
        <v>524</v>
      </c>
      <c r="K63" s="433">
        <f>IF(I63="mg/L",H63,IF(I63="log-mg/L",10^H63,IF(I63="g/L",H63*1000,IF(I63="ug/L",H63/1000,IF(I63="ng/mL",H63/1000,IF(I63="mol/L",H63*G62*1000,IF(I63="log-mol/L",(10^(H63))*G62*1000)))))))</f>
        <v>11.657664928635958</v>
      </c>
      <c r="L63" s="133">
        <f t="shared" ref="L63" si="30">IF(I63="log-mg/L",H63,LOG(K63))</f>
        <v>1.0666115684190298</v>
      </c>
      <c r="M63" s="433">
        <f>IF(I63="mol/L",H63,(K63/1000)/G62)</f>
        <v>2.5118864315095791E-5</v>
      </c>
      <c r="N63" s="133">
        <f t="shared" ref="N63" si="31">IF(I63="log-mol/L",H63,LOG(M63))</f>
        <v>-4.5999999999999996</v>
      </c>
      <c r="O63" s="145">
        <v>25</v>
      </c>
      <c r="P63" s="737" t="s">
        <v>525</v>
      </c>
      <c r="Q63" s="100">
        <f>VLOOKUP(P63,References!$B$7:$F$252,5,FALSE)</f>
        <v>61</v>
      </c>
    </row>
    <row r="64" spans="1:17" x14ac:dyDescent="0.2">
      <c r="A64" s="868"/>
      <c r="B64" s="869"/>
      <c r="C64" s="832"/>
      <c r="D64" s="832"/>
      <c r="E64" s="145" t="s">
        <v>87</v>
      </c>
      <c r="F64" s="145" t="s">
        <v>88</v>
      </c>
      <c r="G64" s="145">
        <v>464.1</v>
      </c>
      <c r="H64" s="376">
        <v>4.0599999999999996E-9</v>
      </c>
      <c r="I64" s="145" t="s">
        <v>509</v>
      </c>
      <c r="J64" s="145" t="s">
        <v>513</v>
      </c>
      <c r="K64" s="433">
        <f>IF(I64="mg/L",H64,IF(I64="log-mg/L",10^H64,IF(I64="g/L",H64*1000,IF(I64="ug/L",H64/1000,IF(I64="ng/mL",H64/1000,IF(I64="mol/L",H64*G64*1000,IF(I64="log-mol/L",(10^(H64))*G64*1000)))))))</f>
        <v>1.8842459999999998E-3</v>
      </c>
      <c r="L64" s="133">
        <f t="shared" si="14"/>
        <v>-2.7248623980037761</v>
      </c>
      <c r="M64" s="433">
        <f>IF(I64="mol/L",H64,(K64/1000)/G64)</f>
        <v>4.0599999999999996E-9</v>
      </c>
      <c r="N64" s="133">
        <f t="shared" si="15"/>
        <v>-8.3914739664228062</v>
      </c>
      <c r="O64" s="145" t="s">
        <v>33</v>
      </c>
      <c r="P64" s="737" t="s">
        <v>511</v>
      </c>
      <c r="Q64" s="100">
        <f>VLOOKUP(P64,References!$B$7:$F$252,5,FALSE)</f>
        <v>36</v>
      </c>
    </row>
    <row r="65" spans="1:17" x14ac:dyDescent="0.2">
      <c r="A65" s="868"/>
      <c r="B65" s="869"/>
      <c r="C65" s="832"/>
      <c r="D65" s="832"/>
      <c r="E65" s="145" t="s">
        <v>87</v>
      </c>
      <c r="F65" s="145" t="s">
        <v>88</v>
      </c>
      <c r="G65" s="145">
        <v>464.1</v>
      </c>
      <c r="H65" s="376">
        <v>1.9099999999999999E-6</v>
      </c>
      <c r="I65" s="145" t="s">
        <v>509</v>
      </c>
      <c r="J65" s="145" t="s">
        <v>512</v>
      </c>
      <c r="K65" s="433">
        <f>IF(I65="mg/L",H65,IF(I65="log-mg/L",10^H65,IF(I65="g/L",H65*1000,IF(I65="ug/L",H65/1000,IF(I65="ng/mL",H65/1000,IF(I65="mol/L",H65*G65*1000,IF(I65="log-mol/L",(10^(H65))*G65*1000)))))))</f>
        <v>0.88643099999999997</v>
      </c>
      <c r="L65" s="133">
        <f t="shared" si="14"/>
        <v>-5.235506433324251E-2</v>
      </c>
      <c r="M65" s="433">
        <f>IF(I65="mol/L",H65,(K65/1000)/G65)</f>
        <v>1.9099999999999999E-6</v>
      </c>
      <c r="N65" s="133">
        <f t="shared" si="15"/>
        <v>-5.7189666327522728</v>
      </c>
      <c r="O65" s="145" t="s">
        <v>33</v>
      </c>
      <c r="P65" s="737" t="s">
        <v>511</v>
      </c>
      <c r="Q65" s="100">
        <f>VLOOKUP(P65,References!$B$7:$F$252,5,FALSE)</f>
        <v>36</v>
      </c>
    </row>
    <row r="66" spans="1:17" x14ac:dyDescent="0.2">
      <c r="A66" s="868"/>
      <c r="B66" s="869"/>
      <c r="C66" s="832"/>
      <c r="D66" s="832"/>
      <c r="E66" s="145" t="s">
        <v>87</v>
      </c>
      <c r="F66" s="145" t="s">
        <v>88</v>
      </c>
      <c r="G66" s="145">
        <v>464.1</v>
      </c>
      <c r="H66" s="376">
        <v>4.6000000000000001E-4</v>
      </c>
      <c r="I66" s="145" t="s">
        <v>509</v>
      </c>
      <c r="J66" s="145" t="s">
        <v>514</v>
      </c>
      <c r="K66" s="433">
        <f>IF(I66="mg/L",H66,IF(I66="log-mg/L",10^H66,IF(I66="g/L",H66*1000,IF(I66="ug/L",H66/1000,IF(I66="ng/mL",H66/1000,IF(I66="mol/L",H66*G66*1000,IF(I66="log-mol/L",(10^(H66))*G66*1000)))))))</f>
        <v>213.48600000000002</v>
      </c>
      <c r="L66" s="133">
        <f t="shared" si="14"/>
        <v>2.329369400100604</v>
      </c>
      <c r="M66" s="433">
        <f>IF(I66="mol/L",H66,(K66/1000)/G66)</f>
        <v>4.6000000000000001E-4</v>
      </c>
      <c r="N66" s="133">
        <f t="shared" si="15"/>
        <v>-3.3372421683184261</v>
      </c>
      <c r="O66" s="145" t="s">
        <v>33</v>
      </c>
      <c r="P66" s="737" t="s">
        <v>511</v>
      </c>
      <c r="Q66" s="100">
        <f>VLOOKUP(P66,References!$B$7:$F$252,5,FALSE)</f>
        <v>36</v>
      </c>
    </row>
    <row r="67" spans="1:17" x14ac:dyDescent="0.2">
      <c r="A67" s="868"/>
      <c r="B67" s="869"/>
      <c r="C67" s="832"/>
      <c r="D67" s="834"/>
      <c r="E67" s="239" t="s">
        <v>87</v>
      </c>
      <c r="F67" s="239" t="s">
        <v>88</v>
      </c>
      <c r="G67" s="239">
        <v>464.1</v>
      </c>
      <c r="H67" s="344">
        <v>2.82E-3</v>
      </c>
      <c r="I67" s="239" t="s">
        <v>509</v>
      </c>
      <c r="J67" s="239" t="s">
        <v>515</v>
      </c>
      <c r="K67" s="469">
        <f>IF(I67="mg/L",H67,IF(I67="log-mg/L",10^H67,IF(I67="g/L",H67*1000,IF(I67="ug/L",H67/1000,IF(I67="ng/mL",H67/1000,IF(I67="mol/L",H67*G67*1000,IF(I67="log-mol/L",(10^(H67))*G67*1000)))))))</f>
        <v>1308.7619999999999</v>
      </c>
      <c r="L67" s="294">
        <f t="shared" si="14"/>
        <v>3.1168606767383911</v>
      </c>
      <c r="M67" s="469">
        <f>IF(I67="mol/L",H67,(K67/1000)/G67)</f>
        <v>2.82E-3</v>
      </c>
      <c r="N67" s="294">
        <f t="shared" si="15"/>
        <v>-2.5497508916806391</v>
      </c>
      <c r="O67" s="239">
        <v>25</v>
      </c>
      <c r="P67" s="738" t="s">
        <v>511</v>
      </c>
      <c r="Q67" s="122">
        <f>VLOOKUP(P67,References!$B$7:$F$252,5,FALSE)</f>
        <v>36</v>
      </c>
    </row>
    <row r="68" spans="1:17" x14ac:dyDescent="0.2">
      <c r="A68" s="867" t="s">
        <v>95</v>
      </c>
      <c r="B68" s="850" t="s">
        <v>96</v>
      </c>
      <c r="C68" s="833">
        <v>514.1</v>
      </c>
      <c r="D68" s="833" t="s">
        <v>97</v>
      </c>
      <c r="E68" s="150" t="s">
        <v>96</v>
      </c>
      <c r="F68" s="151" t="s">
        <v>97</v>
      </c>
      <c r="G68" s="151">
        <v>514.1</v>
      </c>
      <c r="H68" s="145">
        <v>0.01</v>
      </c>
      <c r="I68" s="145" t="s">
        <v>509</v>
      </c>
      <c r="J68" s="145" t="s">
        <v>27</v>
      </c>
      <c r="K68" s="433">
        <f>IF(I68="mg/L",H68,IF(I68="log-mg/L",10^H68,IF(I68="g/L",H68*1000,IF(I68="ug/L",H68/1000,IF(I68="ng/mL",H68/1000,IF(I68="mol/L",H68*G70*1000,IF(I68="log-mol/L",(10^(H68))*G70*1000)))))))</f>
        <v>5141</v>
      </c>
      <c r="L68" s="133">
        <f>IF(I68="log-mg/L",H68,LOG(K68))</f>
        <v>3.7110476038670339</v>
      </c>
      <c r="M68" s="433">
        <f>IF(I68="mol/L",H68,(K68/1000)/G70)</f>
        <v>0.01</v>
      </c>
      <c r="N68" s="133">
        <f>IF(I68="log-mol/L",H68,LOG(M68))</f>
        <v>-2</v>
      </c>
      <c r="O68" s="145">
        <v>25</v>
      </c>
      <c r="P68" s="737" t="s">
        <v>28</v>
      </c>
      <c r="Q68" s="100">
        <f>VLOOKUP(P68,References!$B$7:$F$252,5,FALSE)</f>
        <v>60</v>
      </c>
    </row>
    <row r="69" spans="1:17" x14ac:dyDescent="0.2">
      <c r="A69" s="868"/>
      <c r="B69" s="869"/>
      <c r="C69" s="832"/>
      <c r="D69" s="832"/>
      <c r="E69" s="149" t="s">
        <v>96</v>
      </c>
      <c r="F69" s="145" t="s">
        <v>97</v>
      </c>
      <c r="G69" s="145">
        <v>514.1</v>
      </c>
      <c r="H69" s="145">
        <v>260</v>
      </c>
      <c r="I69" s="145" t="s">
        <v>507</v>
      </c>
      <c r="J69" s="145" t="s">
        <v>27</v>
      </c>
      <c r="K69" s="433">
        <f>IF(I69="mg/L",H69,IF(I69="log-mg/L",10^H69,IF(I69="g/L",H69*1000,IF(I69="ug/L",H69/1000,IF(I69="ng/mL",H69/1000,IF(I69="mol/L",H69*G68*1000,IF(I69="log-mol/L",(10^(H69))*G68*1000)))))))</f>
        <v>260</v>
      </c>
      <c r="L69" s="133">
        <f t="shared" si="14"/>
        <v>2.4149733479708178</v>
      </c>
      <c r="M69" s="433">
        <f>IF(I69="mol/L",H69,(K69/1000)/G68)</f>
        <v>5.0573818323283411E-4</v>
      </c>
      <c r="N69" s="133">
        <f t="shared" si="15"/>
        <v>-3.2960742558962157</v>
      </c>
      <c r="O69" s="145">
        <v>22.4</v>
      </c>
      <c r="P69" s="737" t="s">
        <v>526</v>
      </c>
      <c r="Q69" s="100">
        <f>VLOOKUP(P69,References!$B$7:$F$252,5,FALSE)</f>
        <v>58</v>
      </c>
    </row>
    <row r="70" spans="1:17" x14ac:dyDescent="0.2">
      <c r="A70" s="868"/>
      <c r="B70" s="869"/>
      <c r="C70" s="832"/>
      <c r="D70" s="832"/>
      <c r="E70" s="149" t="s">
        <v>96</v>
      </c>
      <c r="F70" s="145" t="s">
        <v>97</v>
      </c>
      <c r="G70" s="145">
        <v>514.1</v>
      </c>
      <c r="H70" s="145">
        <v>-2.29</v>
      </c>
      <c r="I70" s="145" t="s">
        <v>518</v>
      </c>
      <c r="J70" s="145" t="s">
        <v>27</v>
      </c>
      <c r="K70" s="433">
        <f>IF(I70="mg/L",H70,IF(I70="log-mg/L",10^H70,IF(I70="g/L",H70*1000,IF(I70="ug/L",H70/1000,IF(I70="ng/mL",H70/1000,IF(I70="mol/L",H70*G71*1000,IF(I70="log-mol/L",(10^(H70))*G71*1000)))))))</f>
        <v>5.1286138399136471E-3</v>
      </c>
      <c r="L70" s="133">
        <f t="shared" si="14"/>
        <v>-2.29</v>
      </c>
      <c r="M70" s="433">
        <f>IF(I70="mol/L",H70,(K70/1000)/G71)</f>
        <v>9.9759070996180639E-9</v>
      </c>
      <c r="N70" s="133">
        <f t="shared" si="15"/>
        <v>-8.0010476038670344</v>
      </c>
      <c r="O70" s="145">
        <v>25</v>
      </c>
      <c r="P70" s="737" t="s">
        <v>520</v>
      </c>
      <c r="Q70" s="100">
        <f>VLOOKUP(P70,References!$B$7:$F$252,5,FALSE)</f>
        <v>14</v>
      </c>
    </row>
    <row r="71" spans="1:17" x14ac:dyDescent="0.2">
      <c r="A71" s="868"/>
      <c r="B71" s="869"/>
      <c r="C71" s="832"/>
      <c r="D71" s="832"/>
      <c r="E71" s="149" t="s">
        <v>96</v>
      </c>
      <c r="F71" s="145" t="s">
        <v>97</v>
      </c>
      <c r="G71" s="145">
        <v>514.1</v>
      </c>
      <c r="H71" s="145">
        <v>-1.56</v>
      </c>
      <c r="I71" s="145" t="s">
        <v>518</v>
      </c>
      <c r="J71" s="145" t="s">
        <v>519</v>
      </c>
      <c r="K71" s="433">
        <f>IF(I71="mg/L",H71,IF(I71="log-mg/L",10^H71,IF(I71="g/L",H71*1000,IF(I71="ug/L",H71/1000,IF(I71="ng/mL",H71/1000,IF(I71="mol/L",H71*G72*1000,IF(I71="log-mol/L",(10^(H71))*G72*1000)))))))</f>
        <v>2.7542287033381647E-2</v>
      </c>
      <c r="L71" s="133">
        <f t="shared" si="14"/>
        <v>-1.56</v>
      </c>
      <c r="M71" s="433">
        <f>IF(I71="mol/L",H71,(K71/1000)/G72)</f>
        <v>5.3573793101306448E-8</v>
      </c>
      <c r="N71" s="133">
        <f t="shared" si="15"/>
        <v>-7.271047603867034</v>
      </c>
      <c r="O71" s="145">
        <v>25</v>
      </c>
      <c r="P71" s="737" t="s">
        <v>520</v>
      </c>
      <c r="Q71" s="100">
        <f>VLOOKUP(P71,References!$B$7:$F$252,5,FALSE)</f>
        <v>14</v>
      </c>
    </row>
    <row r="72" spans="1:17" x14ac:dyDescent="0.2">
      <c r="A72" s="868"/>
      <c r="B72" s="869"/>
      <c r="C72" s="832"/>
      <c r="D72" s="832"/>
      <c r="E72" s="149" t="s">
        <v>96</v>
      </c>
      <c r="F72" s="145" t="s">
        <v>97</v>
      </c>
      <c r="G72" s="145">
        <v>514.1</v>
      </c>
      <c r="H72" s="145">
        <v>-4.3099999999999996</v>
      </c>
      <c r="I72" s="145" t="s">
        <v>521</v>
      </c>
      <c r="J72" s="145" t="s">
        <v>522</v>
      </c>
      <c r="K72" s="433">
        <f>IF(I72="mg/L",H72,IF(I72="log-mg/L",10^H72,IF(I72="g/L",H72*1000,IF(I72="ug/L",H72/1000,IF(I72="ng/mL",H72/1000,IF(I72="mol/L",H72*G73*1000,IF(I72="log-mol/L",(10^(H72))*G73*1000)))))))</f>
        <v>25.179529103731827</v>
      </c>
      <c r="L72" s="133">
        <f t="shared" si="14"/>
        <v>1.4010476038670341</v>
      </c>
      <c r="M72" s="433">
        <f>IF(I72="mol/L",H72,(K72/1000)/G73)</f>
        <v>4.8977881936844635E-5</v>
      </c>
      <c r="N72" s="133">
        <f t="shared" si="15"/>
        <v>-4.3099999999999996</v>
      </c>
      <c r="O72" s="145" t="s">
        <v>33</v>
      </c>
      <c r="P72" s="737" t="s">
        <v>523</v>
      </c>
      <c r="Q72" s="100">
        <f>VLOOKUP(P72,References!$B$7:$F$252,5,FALSE)</f>
        <v>127</v>
      </c>
    </row>
    <row r="73" spans="1:17" x14ac:dyDescent="0.2">
      <c r="A73" s="868"/>
      <c r="B73" s="869"/>
      <c r="C73" s="832"/>
      <c r="D73" s="832"/>
      <c r="E73" s="149" t="s">
        <v>96</v>
      </c>
      <c r="F73" s="145" t="s">
        <v>97</v>
      </c>
      <c r="G73" s="145">
        <v>514.1</v>
      </c>
      <c r="H73" s="145">
        <v>-5.39</v>
      </c>
      <c r="I73" s="145" t="s">
        <v>521</v>
      </c>
      <c r="J73" s="145" t="s">
        <v>524</v>
      </c>
      <c r="K73" s="433">
        <f>IF(I73="mg/L",H73,IF(I73="log-mg/L",10^H73,IF(I73="g/L",H73*1000,IF(I73="ug/L",H73/1000,IF(I73="ng/mL",H73/1000,IF(I73="mol/L",H73*G69*1000,IF(I73="log-mol/L",(10^(H73))*G69*1000)))))))</f>
        <v>2.0943420081909436</v>
      </c>
      <c r="L73" s="133">
        <f t="shared" ref="L73" si="32">IF(I73="log-mg/L",H73,LOG(K73))</f>
        <v>0.3210476038670339</v>
      </c>
      <c r="M73" s="433">
        <f>IF(I73="mol/L",H73,(K73/1000)/G69)</f>
        <v>4.0738027780411272E-6</v>
      </c>
      <c r="N73" s="133">
        <f t="shared" ref="N73" si="33">IF(I73="log-mol/L",H73,LOG(M73))</f>
        <v>-5.39</v>
      </c>
      <c r="O73" s="145">
        <v>25</v>
      </c>
      <c r="P73" s="737" t="s">
        <v>525</v>
      </c>
      <c r="Q73" s="100">
        <f>VLOOKUP(P73,References!$B$7:$F$252,5,FALSE)</f>
        <v>61</v>
      </c>
    </row>
    <row r="74" spans="1:17" x14ac:dyDescent="0.2">
      <c r="A74" s="868"/>
      <c r="B74" s="869"/>
      <c r="C74" s="832"/>
      <c r="D74" s="832"/>
      <c r="E74" s="149" t="s">
        <v>96</v>
      </c>
      <c r="F74" s="145" t="s">
        <v>97</v>
      </c>
      <c r="G74" s="145">
        <v>514.1</v>
      </c>
      <c r="H74" s="145">
        <v>2690</v>
      </c>
      <c r="I74" s="145" t="s">
        <v>507</v>
      </c>
      <c r="J74" s="145" t="s">
        <v>27</v>
      </c>
      <c r="K74" s="433">
        <f>IF(I74="mg/L",H74,IF(I74="log-mg/L",10^H74,IF(I74="g/L",H74*1000,IF(I74="ug/L",H74/1000,IF(I74="ng/mL",H74/1000,IF(I74="mol/L",H74*G70*1000,IF(I74="log-mol/L",(10^(H74))*G70*1000)))))))</f>
        <v>2690</v>
      </c>
      <c r="L74" s="133">
        <f t="shared" ref="L74" si="34">IF(I74="log-mg/L",H74,LOG(K74))</f>
        <v>3.4297522800024081</v>
      </c>
      <c r="M74" s="433">
        <f>IF(I74="mol/L",H74,(K74/1000)/G70)</f>
        <v>5.2324450496012446E-3</v>
      </c>
      <c r="N74" s="133">
        <f t="shared" ref="N74" si="35">IF(I74="log-mol/L",H74,LOG(M74))</f>
        <v>-2.2812953238646259</v>
      </c>
      <c r="O74" s="145" t="s">
        <v>33</v>
      </c>
      <c r="P74" s="737" t="s">
        <v>47</v>
      </c>
      <c r="Q74" s="100">
        <f>VLOOKUP(P74,References!$B$7:$F$252,5,FALSE)</f>
        <v>3</v>
      </c>
    </row>
    <row r="75" spans="1:17" x14ac:dyDescent="0.2">
      <c r="A75" s="868"/>
      <c r="B75" s="869"/>
      <c r="C75" s="832"/>
      <c r="D75" s="832"/>
      <c r="E75" s="149" t="s">
        <v>96</v>
      </c>
      <c r="F75" s="145" t="s">
        <v>97</v>
      </c>
      <c r="G75" s="145">
        <v>514.1</v>
      </c>
      <c r="H75" s="376">
        <v>2.6200000000000003E-10</v>
      </c>
      <c r="I75" s="145" t="s">
        <v>509</v>
      </c>
      <c r="J75" s="145" t="s">
        <v>513</v>
      </c>
      <c r="K75" s="433">
        <f>IF(I75="mg/L",H75,IF(I75="log-mg/L",10^H75,IF(I75="g/L",H75*1000,IF(I75="ug/L",H75/1000,IF(I75="ng/mL",H75/1000,IF(I75="mol/L",H75*G75*1000,IF(I75="log-mol/L",(10^(H75))*G75*1000)))))))</f>
        <v>1.3469420000000002E-4</v>
      </c>
      <c r="L75" s="133">
        <f t="shared" si="14"/>
        <v>-3.8706511048132204</v>
      </c>
      <c r="M75" s="433">
        <f>IF(I75="mol/L",H75,(K75/1000)/G75)</f>
        <v>2.6200000000000003E-10</v>
      </c>
      <c r="N75" s="133">
        <f t="shared" si="15"/>
        <v>-9.5816987086802552</v>
      </c>
      <c r="O75" s="145" t="s">
        <v>33</v>
      </c>
      <c r="P75" s="737" t="s">
        <v>511</v>
      </c>
      <c r="Q75" s="100">
        <f>VLOOKUP(P75,References!$B$7:$F$252,5,FALSE)</f>
        <v>36</v>
      </c>
    </row>
    <row r="76" spans="1:17" x14ac:dyDescent="0.2">
      <c r="A76" s="868"/>
      <c r="B76" s="869"/>
      <c r="C76" s="832"/>
      <c r="D76" s="832"/>
      <c r="E76" s="149" t="s">
        <v>96</v>
      </c>
      <c r="F76" s="145" t="s">
        <v>97</v>
      </c>
      <c r="G76" s="145">
        <v>514.1</v>
      </c>
      <c r="H76" s="376">
        <v>1.9000000000000001E-4</v>
      </c>
      <c r="I76" s="145" t="s">
        <v>509</v>
      </c>
      <c r="J76" s="145" t="s">
        <v>514</v>
      </c>
      <c r="K76" s="433">
        <f>IF(I76="mg/L",H76,IF(I76="log-mg/L",10^H76,IF(I76="g/L",H76*1000,IF(I76="ug/L",H76/1000,IF(I76="ng/mL",H76/1000,IF(I76="mol/L",H76*G76*1000,IF(I76="log-mol/L",(10^(H76))*G76*1000)))))))</f>
        <v>97.679000000000016</v>
      </c>
      <c r="L76" s="133">
        <f t="shared" si="14"/>
        <v>1.989801204819863</v>
      </c>
      <c r="M76" s="433">
        <f>IF(I76="mol/L",H76,(K76/1000)/G76)</f>
        <v>1.9000000000000001E-4</v>
      </c>
      <c r="N76" s="133">
        <f t="shared" si="15"/>
        <v>-3.7212463990471711</v>
      </c>
      <c r="O76" s="145" t="s">
        <v>33</v>
      </c>
      <c r="P76" s="737" t="s">
        <v>511</v>
      </c>
      <c r="Q76" s="100">
        <f>VLOOKUP(P76,References!$B$7:$F$252,5,FALSE)</f>
        <v>36</v>
      </c>
    </row>
    <row r="77" spans="1:17" x14ac:dyDescent="0.2">
      <c r="A77" s="879"/>
      <c r="B77" s="851"/>
      <c r="C77" s="834"/>
      <c r="D77" s="834"/>
      <c r="E77" s="182" t="s">
        <v>96</v>
      </c>
      <c r="F77" s="239" t="s">
        <v>97</v>
      </c>
      <c r="G77" s="239">
        <v>514.1</v>
      </c>
      <c r="H77" s="344">
        <v>2.2499999999999998E-3</v>
      </c>
      <c r="I77" s="239" t="s">
        <v>509</v>
      </c>
      <c r="J77" s="239" t="s">
        <v>515</v>
      </c>
      <c r="K77" s="469">
        <f>IF(I77="mg/L",H77,IF(I77="log-mg/L",10^H77,IF(I77="g/L",H77*1000,IF(I77="ug/L",H77/1000,IF(I77="ng/mL",H77/1000,IF(I77="mol/L",H77*G77*1000,IF(I77="log-mol/L",(10^(H77))*G77*1000)))))))</f>
        <v>1156.7249999999999</v>
      </c>
      <c r="L77" s="294">
        <f t="shared" si="14"/>
        <v>3.0632301219783962</v>
      </c>
      <c r="M77" s="469">
        <f>IF(I77="mol/L",H77,(K77/1000)/G77)</f>
        <v>2.2499999999999998E-3</v>
      </c>
      <c r="N77" s="294">
        <f t="shared" si="15"/>
        <v>-2.6478174818886377</v>
      </c>
      <c r="O77" s="239">
        <v>25</v>
      </c>
      <c r="P77" s="738" t="s">
        <v>511</v>
      </c>
      <c r="Q77" s="122">
        <f>VLOOKUP(P77,References!$B$7:$F$252,5,FALSE)</f>
        <v>36</v>
      </c>
    </row>
    <row r="78" spans="1:17" x14ac:dyDescent="0.2">
      <c r="A78" s="868" t="s">
        <v>106</v>
      </c>
      <c r="B78" s="869" t="s">
        <v>107</v>
      </c>
      <c r="C78" s="832">
        <v>564.1</v>
      </c>
      <c r="D78" s="832" t="s">
        <v>108</v>
      </c>
      <c r="E78" s="145" t="s">
        <v>107</v>
      </c>
      <c r="F78" s="145" t="s">
        <v>108</v>
      </c>
      <c r="G78" s="145">
        <v>564.1</v>
      </c>
      <c r="H78" s="145">
        <v>92.3</v>
      </c>
      <c r="I78" s="145" t="s">
        <v>507</v>
      </c>
      <c r="J78" s="145" t="s">
        <v>27</v>
      </c>
      <c r="K78" s="433">
        <f>IF(I78="mg/L",H78,IF(I78="log-mg/L",10^H78,IF(I78="g/L",H78*1000,IF(I78="ug/L",H78/1000,IF(I78="ng/mL",H78/1000,IF(I78="mol/L",H78*G78*1000,IF(I78="log-mol/L",(10^(H78))*G78*1000)))))))</f>
        <v>92.3</v>
      </c>
      <c r="L78" s="133">
        <f t="shared" si="14"/>
        <v>1.965201701025912</v>
      </c>
      <c r="M78" s="433">
        <f>IF(I78="mol/L",H78,(K78/1000)/G78)</f>
        <v>1.6362347101577733E-4</v>
      </c>
      <c r="N78" s="133">
        <f t="shared" si="15"/>
        <v>-3.7861543986994817</v>
      </c>
      <c r="O78" s="145">
        <v>21.9</v>
      </c>
      <c r="P78" s="737" t="s">
        <v>526</v>
      </c>
      <c r="Q78" s="100">
        <f>VLOOKUP(P78,References!$B$7:$F$252,5,FALSE)</f>
        <v>58</v>
      </c>
    </row>
    <row r="79" spans="1:17" x14ac:dyDescent="0.2">
      <c r="A79" s="868"/>
      <c r="B79" s="869"/>
      <c r="C79" s="832"/>
      <c r="D79" s="832"/>
      <c r="E79" s="145" t="s">
        <v>107</v>
      </c>
      <c r="F79" s="145" t="s">
        <v>108</v>
      </c>
      <c r="G79" s="145">
        <v>564.1</v>
      </c>
      <c r="H79" s="145">
        <v>-2.83</v>
      </c>
      <c r="I79" s="145" t="s">
        <v>518</v>
      </c>
      <c r="J79" s="145" t="s">
        <v>519</v>
      </c>
      <c r="K79" s="433">
        <f>IF(I79="mg/L",H79,IF(I79="log-mg/L",10^H79,IF(I79="g/L",H79*1000,IF(I79="ug/L",H79/1000,IF(I79="ng/mL",H79/1000,IF(I79="mol/L",H79*G81*1000,IF(I79="log-mol/L",(10^(H79))*G81*1000)))))))</f>
        <v>1.4791083881682066E-3</v>
      </c>
      <c r="L79" s="133">
        <f t="shared" si="14"/>
        <v>-2.83</v>
      </c>
      <c r="M79" s="433">
        <f>IF(I79="mol/L",H79,(K79/1000)/G81)</f>
        <v>2.6220676975149914E-9</v>
      </c>
      <c r="N79" s="133">
        <f t="shared" si="15"/>
        <v>-8.5813560997253937</v>
      </c>
      <c r="O79" s="145">
        <v>25</v>
      </c>
      <c r="P79" s="737" t="s">
        <v>520</v>
      </c>
      <c r="Q79" s="100">
        <f>VLOOKUP(P79,References!$B$7:$F$252,5,FALSE)</f>
        <v>14</v>
      </c>
    </row>
    <row r="80" spans="1:17" x14ac:dyDescent="0.2">
      <c r="A80" s="868"/>
      <c r="B80" s="869"/>
      <c r="C80" s="832"/>
      <c r="D80" s="832"/>
      <c r="E80" s="145" t="s">
        <v>107</v>
      </c>
      <c r="F80" s="145" t="s">
        <v>108</v>
      </c>
      <c r="G80" s="145">
        <v>564.1</v>
      </c>
      <c r="H80" s="145">
        <v>-5.13</v>
      </c>
      <c r="I80" s="145" t="s">
        <v>521</v>
      </c>
      <c r="J80" s="145" t="s">
        <v>522</v>
      </c>
      <c r="K80" s="433">
        <f>IF(I80="mg/L",H80,IF(I80="log-mg/L",10^H80,IF(I80="g/L",H80*1000,IF(I80="ug/L",H80/1000,IF(I80="ng/mL",H80/1000,IF(I80="mol/L",H80*G82*1000,IF(I80="log-mol/L",(10^(H80))*G82*1000)))))))</f>
        <v>4.181731071178473</v>
      </c>
      <c r="L80" s="133">
        <f t="shared" si="14"/>
        <v>0.62135609972539341</v>
      </c>
      <c r="M80" s="433">
        <f>IF(I80="mol/L",H80,(K80/1000)/G82)</f>
        <v>7.4131024130091704E-6</v>
      </c>
      <c r="N80" s="133">
        <f t="shared" si="15"/>
        <v>-5.13</v>
      </c>
      <c r="O80" s="145" t="s">
        <v>33</v>
      </c>
      <c r="P80" s="737" t="s">
        <v>523</v>
      </c>
      <c r="Q80" s="100">
        <f>VLOOKUP(P80,References!$B$7:$F$252,5,FALSE)</f>
        <v>127</v>
      </c>
    </row>
    <row r="81" spans="1:17" x14ac:dyDescent="0.2">
      <c r="A81" s="868"/>
      <c r="B81" s="869"/>
      <c r="C81" s="832"/>
      <c r="D81" s="832"/>
      <c r="E81" s="145" t="s">
        <v>107</v>
      </c>
      <c r="F81" s="145" t="s">
        <v>108</v>
      </c>
      <c r="G81" s="145">
        <v>564.1</v>
      </c>
      <c r="H81" s="145">
        <v>0.59699999999999998</v>
      </c>
      <c r="I81" s="145" t="s">
        <v>507</v>
      </c>
      <c r="J81" s="145" t="s">
        <v>27</v>
      </c>
      <c r="K81" s="433">
        <f>IF(I81="mg/L",H81,IF(I81="log-mg/L",10^H81,IF(I81="g/L",H81*1000,IF(I81="ug/L",H81/1000,IF(I81="ng/mL",H81/1000,IF(I81="mol/L",H81*G80*1000,IF(I81="log-mol/L",(10^(H81))*G80*1000)))))))</f>
        <v>0.59699999999999998</v>
      </c>
      <c r="L81" s="133">
        <f>IF(I81="log-mg/L",H81,LOG(K81))</f>
        <v>-0.22402566887063094</v>
      </c>
      <c r="M81" s="433">
        <f>IF(I81="mol/L",H81,(K81/1000)/G80)</f>
        <v>1.0583229923772381E-6</v>
      </c>
      <c r="N81" s="133">
        <f>IF(I81="log-mol/L",H81,LOG(M81))</f>
        <v>-5.9753817685960247</v>
      </c>
      <c r="O81" s="145">
        <v>25</v>
      </c>
      <c r="P81" s="737" t="s">
        <v>529</v>
      </c>
      <c r="Q81" s="100">
        <f>VLOOKUP(P81,References!$B$7:$F$252,5,FALSE)</f>
        <v>52</v>
      </c>
    </row>
    <row r="82" spans="1:17" x14ac:dyDescent="0.2">
      <c r="A82" s="868"/>
      <c r="B82" s="869"/>
      <c r="C82" s="832"/>
      <c r="D82" s="832"/>
      <c r="E82" s="145" t="s">
        <v>107</v>
      </c>
      <c r="F82" s="145" t="s">
        <v>108</v>
      </c>
      <c r="G82" s="145">
        <v>564.1</v>
      </c>
      <c r="H82" s="145">
        <v>-6.05</v>
      </c>
      <c r="I82" s="145" t="s">
        <v>521</v>
      </c>
      <c r="J82" s="145" t="s">
        <v>524</v>
      </c>
      <c r="K82" s="433">
        <f>IF(I82="mg/L",H82,IF(I82="log-mg/L",10^H82,IF(I82="g/L",H82*1000,IF(I82="ug/L",H82/1000,IF(I82="ng/mL",H82/1000,IF(I82="mol/L",H82*G79*1000,IF(I82="log-mol/L",(10^(H82))*G79*1000)))))))</f>
        <v>0.50275465420124543</v>
      </c>
      <c r="L82" s="133">
        <f t="shared" ref="L82" si="36">IF(I82="log-mg/L",H82,LOG(K82))</f>
        <v>-0.29864390027460669</v>
      </c>
      <c r="M82" s="433">
        <f>IF(I82="mol/L",H82,(K82/1000)/G79)</f>
        <v>8.9125093813374487E-7</v>
      </c>
      <c r="N82" s="133">
        <f t="shared" ref="N82" si="37">IF(I82="log-mol/L",H82,LOG(M82))</f>
        <v>-6.05</v>
      </c>
      <c r="O82" s="145">
        <v>25</v>
      </c>
      <c r="P82" s="737" t="s">
        <v>525</v>
      </c>
      <c r="Q82" s="100">
        <f>VLOOKUP(P82,References!$B$7:$F$252,5,FALSE)</f>
        <v>61</v>
      </c>
    </row>
    <row r="83" spans="1:17" x14ac:dyDescent="0.2">
      <c r="A83" s="868"/>
      <c r="B83" s="869"/>
      <c r="C83" s="832"/>
      <c r="D83" s="832"/>
      <c r="E83" s="145" t="s">
        <v>107</v>
      </c>
      <c r="F83" s="145" t="s">
        <v>108</v>
      </c>
      <c r="G83" s="145">
        <v>564.1</v>
      </c>
      <c r="H83" s="376">
        <v>1.6999999999999999E-11</v>
      </c>
      <c r="I83" s="145" t="s">
        <v>509</v>
      </c>
      <c r="J83" s="145" t="s">
        <v>513</v>
      </c>
      <c r="K83" s="433">
        <f>IF(I83="mg/L",H83,IF(I83="log-mg/L",10^H83,IF(I83="g/L",H83*1000,IF(I83="ug/L",H83/1000,IF(I83="ng/mL",H83/1000,IF(I83="mol/L",H83*G83*1000,IF(I83="log-mol/L",(10^(H83))*G83*1000)))))))</f>
        <v>9.5897000000000007E-6</v>
      </c>
      <c r="L83" s="133">
        <f t="shared" si="14"/>
        <v>-5.0181949788963323</v>
      </c>
      <c r="M83" s="433">
        <f>IF(I83="mol/L",H83,(K83/1000)/G83)</f>
        <v>1.6999999999999999E-11</v>
      </c>
      <c r="N83" s="133">
        <f t="shared" si="15"/>
        <v>-10.769551078621726</v>
      </c>
      <c r="O83" s="145" t="s">
        <v>33</v>
      </c>
      <c r="P83" s="737" t="s">
        <v>511</v>
      </c>
      <c r="Q83" s="100">
        <f>VLOOKUP(P83,References!$B$7:$F$252,5,FALSE)</f>
        <v>36</v>
      </c>
    </row>
    <row r="84" spans="1:17" x14ac:dyDescent="0.2">
      <c r="A84" s="868"/>
      <c r="B84" s="869"/>
      <c r="C84" s="832"/>
      <c r="D84" s="832"/>
      <c r="E84" s="145" t="s">
        <v>107</v>
      </c>
      <c r="F84" s="145" t="s">
        <v>108</v>
      </c>
      <c r="G84" s="145">
        <v>564.1</v>
      </c>
      <c r="H84" s="376">
        <v>7.6000000000000004E-5</v>
      </c>
      <c r="I84" s="145" t="s">
        <v>509</v>
      </c>
      <c r="J84" s="145" t="s">
        <v>514</v>
      </c>
      <c r="K84" s="433">
        <f>IF(I84="mg/L",H84,IF(I84="log-mg/L",10^H84,IF(I84="g/L",H84*1000,IF(I84="ug/L",H84/1000,IF(I84="ng/mL",H84/1000,IF(I84="mol/L",H84*G84*1000,IF(I84="log-mol/L",(10^(H84))*G84*1000)))))))</f>
        <v>42.871600000000001</v>
      </c>
      <c r="L84" s="133">
        <f t="shared" si="14"/>
        <v>1.632169692006185</v>
      </c>
      <c r="M84" s="433">
        <f>IF(I84="mol/L",H84,(K84/1000)/G84)</f>
        <v>7.6000000000000004E-5</v>
      </c>
      <c r="N84" s="133">
        <f t="shared" si="15"/>
        <v>-4.1191864077192086</v>
      </c>
      <c r="O84" s="145" t="s">
        <v>33</v>
      </c>
      <c r="P84" s="737" t="s">
        <v>511</v>
      </c>
      <c r="Q84" s="100">
        <f>VLOOKUP(P84,References!$B$7:$F$252,5,FALSE)</f>
        <v>36</v>
      </c>
    </row>
    <row r="85" spans="1:17" x14ac:dyDescent="0.2">
      <c r="A85" s="868"/>
      <c r="B85" s="869"/>
      <c r="C85" s="832"/>
      <c r="D85" s="834"/>
      <c r="E85" s="239" t="s">
        <v>107</v>
      </c>
      <c r="F85" s="239" t="s">
        <v>108</v>
      </c>
      <c r="G85" s="239">
        <v>564.1</v>
      </c>
      <c r="H85" s="344">
        <v>1.64E-4</v>
      </c>
      <c r="I85" s="239" t="s">
        <v>509</v>
      </c>
      <c r="J85" s="239" t="s">
        <v>515</v>
      </c>
      <c r="K85" s="469">
        <f>IF(I85="mg/L",H85,IF(I85="log-mg/L",10^H85,IF(I85="g/L",H85*1000,IF(I85="ug/L",H85/1000,IF(I85="ng/mL",H85/1000,IF(I85="mol/L",H85*G85*1000,IF(I85="log-mol/L",(10^(H85))*G85*1000)))))))</f>
        <v>92.512400000000014</v>
      </c>
      <c r="L85" s="294">
        <f t="shared" si="14"/>
        <v>1.9661999477730916</v>
      </c>
      <c r="M85" s="469">
        <f>IF(I85="mol/L",H85,(K85/1000)/G85)</f>
        <v>1.64E-4</v>
      </c>
      <c r="N85" s="294">
        <f t="shared" si="15"/>
        <v>-3.785156151952302</v>
      </c>
      <c r="O85" s="239">
        <v>25</v>
      </c>
      <c r="P85" s="738" t="s">
        <v>511</v>
      </c>
      <c r="Q85" s="122">
        <f>VLOOKUP(P85,References!$B$7:$F$252,5,FALSE)</f>
        <v>36</v>
      </c>
    </row>
    <row r="86" spans="1:17" x14ac:dyDescent="0.2">
      <c r="A86" s="867" t="s">
        <v>117</v>
      </c>
      <c r="B86" s="850" t="s">
        <v>118</v>
      </c>
      <c r="C86" s="833">
        <f>C78+50</f>
        <v>614.1</v>
      </c>
      <c r="D86" s="833" t="s">
        <v>119</v>
      </c>
      <c r="E86" s="151" t="s">
        <v>118</v>
      </c>
      <c r="F86" s="151" t="s">
        <v>119</v>
      </c>
      <c r="G86" s="151">
        <f t="shared" ref="G86:G91" si="38">G78+50</f>
        <v>614.1</v>
      </c>
      <c r="H86" s="145">
        <v>-4.12</v>
      </c>
      <c r="I86" s="145" t="s">
        <v>518</v>
      </c>
      <c r="J86" s="145" t="s">
        <v>519</v>
      </c>
      <c r="K86" s="433">
        <f>IF(I86="mg/L",H86,IF(I86="log-mg/L",10^H86,IF(I86="g/L",H86*1000,IF(I86="ug/L",H86/1000,IF(I86="ng/mL",H86/1000,IF(I86="mol/L",H86*G88*1000,IF(I86="log-mol/L",(10^(H86))*G88*1000)))))))</f>
        <v>7.5857757502918263E-5</v>
      </c>
      <c r="L86" s="133">
        <f t="shared" si="14"/>
        <v>-4.12</v>
      </c>
      <c r="M86" s="433">
        <f>IF(I86="mol/L",H86,(K86/1000)/G88)</f>
        <v>1.235267179659962E-10</v>
      </c>
      <c r="N86" s="133">
        <f t="shared" si="15"/>
        <v>-9.9082390973821681</v>
      </c>
      <c r="O86" s="145">
        <v>25</v>
      </c>
      <c r="P86" s="737" t="s">
        <v>520</v>
      </c>
      <c r="Q86" s="100">
        <f>VLOOKUP(P86,References!$B$7:$F$252,5,FALSE)</f>
        <v>14</v>
      </c>
    </row>
    <row r="87" spans="1:17" x14ac:dyDescent="0.2">
      <c r="A87" s="868"/>
      <c r="B87" s="869"/>
      <c r="C87" s="832"/>
      <c r="D87" s="832"/>
      <c r="E87" s="145" t="s">
        <v>118</v>
      </c>
      <c r="F87" s="145" t="s">
        <v>119</v>
      </c>
      <c r="G87" s="145">
        <f t="shared" si="38"/>
        <v>614.1</v>
      </c>
      <c r="H87" s="145">
        <v>-5.94</v>
      </c>
      <c r="I87" s="145" t="s">
        <v>521</v>
      </c>
      <c r="J87" s="145" t="s">
        <v>522</v>
      </c>
      <c r="K87" s="433">
        <f>IF(I87="mg/L",H87,IF(I87="log-mg/L",10^H87,IF(I87="g/L",H87*1000,IF(I87="ug/L",H87/1000,IF(I87="ng/mL",H87/1000,IF(I87="mol/L",H87*G89*1000,IF(I87="log-mol/L",(10^(H87))*G89*1000)))))))</f>
        <v>0.70508113896123448</v>
      </c>
      <c r="L87" s="133">
        <f t="shared" si="14"/>
        <v>-0.15176090261783265</v>
      </c>
      <c r="M87" s="433">
        <f>IF(I87="mol/L",H87,(K87/1000)/G89)</f>
        <v>1.1481536214968806E-6</v>
      </c>
      <c r="N87" s="133">
        <f t="shared" si="15"/>
        <v>-5.94</v>
      </c>
      <c r="O87" s="145" t="s">
        <v>33</v>
      </c>
      <c r="P87" s="737" t="s">
        <v>523</v>
      </c>
      <c r="Q87" s="100">
        <f>VLOOKUP(P87,References!$B$7:$F$252,5,FALSE)</f>
        <v>127</v>
      </c>
    </row>
    <row r="88" spans="1:17" x14ac:dyDescent="0.2">
      <c r="A88" s="868"/>
      <c r="B88" s="869"/>
      <c r="C88" s="832"/>
      <c r="D88" s="832"/>
      <c r="E88" s="145" t="s">
        <v>118</v>
      </c>
      <c r="F88" s="145" t="s">
        <v>119</v>
      </c>
      <c r="G88" s="145">
        <f t="shared" si="38"/>
        <v>614.1</v>
      </c>
      <c r="H88" s="145">
        <v>0.52</v>
      </c>
      <c r="I88" s="145" t="s">
        <v>507</v>
      </c>
      <c r="J88" s="145" t="s">
        <v>27</v>
      </c>
      <c r="K88" s="433">
        <f>IF(I88="mg/L",H88,IF(I88="log-mg/L",10^H88,IF(I88="g/L",H88*1000,IF(I88="ug/L",H88/1000,IF(I88="ng/mL",H88/1000,IF(I88="mol/L",H88*G86*1000,IF(I88="log-mol/L",(10^(H88))*G86*1000)))))))</f>
        <v>0.52</v>
      </c>
      <c r="L88" s="133">
        <f>IF(I88="log-mg/L",H88,LOG(K88))</f>
        <v>-0.28399665636520083</v>
      </c>
      <c r="M88" s="433">
        <f>IF(I88="mol/L",H88,(K88/1000)/G86)</f>
        <v>8.4676762742224399E-7</v>
      </c>
      <c r="N88" s="133">
        <f>IF(I88="log-mol/L",H88,LOG(M88))</f>
        <v>-6.0722357537473686</v>
      </c>
      <c r="O88" s="145">
        <v>25</v>
      </c>
      <c r="P88" s="737" t="s">
        <v>529</v>
      </c>
      <c r="Q88" s="100">
        <f>VLOOKUP(P88,References!$B$7:$F$252,5,FALSE)</f>
        <v>52</v>
      </c>
    </row>
    <row r="89" spans="1:17" x14ac:dyDescent="0.2">
      <c r="A89" s="868"/>
      <c r="B89" s="869"/>
      <c r="C89" s="832"/>
      <c r="D89" s="832"/>
      <c r="E89" s="145" t="s">
        <v>118</v>
      </c>
      <c r="F89" s="145" t="s">
        <v>119</v>
      </c>
      <c r="G89" s="145">
        <f t="shared" si="38"/>
        <v>614.1</v>
      </c>
      <c r="H89" s="145">
        <v>-6.97</v>
      </c>
      <c r="I89" s="145" t="s">
        <v>521</v>
      </c>
      <c r="J89" s="145" t="s">
        <v>524</v>
      </c>
      <c r="K89" s="433">
        <f>IF(I89="mg/L",H89,IF(I89="log-mg/L",10^H89,IF(I89="g/L",H89*1000,IF(I89="ug/L",H89/1000,IF(I89="ng/mL",H89/1000,IF(I89="mol/L",H89*G87*1000,IF(I89="log-mol/L",(10^(H89))*G87*1000)))))))</f>
        <v>6.5802000534641344E-2</v>
      </c>
      <c r="L89" s="133">
        <f t="shared" ref="L89" si="39">IF(I89="log-mg/L",H89,LOG(K89))</f>
        <v>-1.1817609026178324</v>
      </c>
      <c r="M89" s="433">
        <f>IF(I89="mol/L",H89,(K89/1000)/G87)</f>
        <v>1.0715193052376054E-7</v>
      </c>
      <c r="N89" s="133">
        <f t="shared" ref="N89" si="40">IF(I89="log-mol/L",H89,LOG(M89))</f>
        <v>-6.97</v>
      </c>
      <c r="O89" s="145">
        <v>25</v>
      </c>
      <c r="P89" s="737" t="s">
        <v>525</v>
      </c>
      <c r="Q89" s="100">
        <v>25</v>
      </c>
    </row>
    <row r="90" spans="1:17" x14ac:dyDescent="0.2">
      <c r="A90" s="868"/>
      <c r="B90" s="869"/>
      <c r="C90" s="832"/>
      <c r="D90" s="832"/>
      <c r="E90" s="145" t="s">
        <v>118</v>
      </c>
      <c r="F90" s="145" t="s">
        <v>119</v>
      </c>
      <c r="G90" s="145">
        <f t="shared" si="38"/>
        <v>614.1</v>
      </c>
      <c r="H90" s="376">
        <v>1.1E-12</v>
      </c>
      <c r="I90" s="145" t="s">
        <v>509</v>
      </c>
      <c r="J90" s="145" t="s">
        <v>513</v>
      </c>
      <c r="K90" s="433">
        <f t="shared" ref="K90:K96" si="41">IF(I90="mg/L",H90,IF(I90="log-mg/L",10^H90,IF(I90="g/L",H90*1000,IF(I90="ug/L",H90/1000,IF(I90="ng/mL",H90/1000,IF(I90="mol/L",H90*G90*1000,IF(I90="log-mol/L",(10^(H90))*G90*1000)))))))</f>
        <v>6.7550999999999999E-7</v>
      </c>
      <c r="L90" s="133">
        <f t="shared" si="14"/>
        <v>-6.1703682174596066</v>
      </c>
      <c r="M90" s="433">
        <f t="shared" ref="M90:M96" si="42">IF(I90="mol/L",H90,(K90/1000)/G90)</f>
        <v>1.1E-12</v>
      </c>
      <c r="N90" s="133">
        <f t="shared" si="15"/>
        <v>-11.958607314841775</v>
      </c>
      <c r="O90" s="145" t="s">
        <v>33</v>
      </c>
      <c r="P90" s="737" t="s">
        <v>511</v>
      </c>
      <c r="Q90" s="100">
        <f>VLOOKUP(P90,References!$B$7:$F$252,5,FALSE)</f>
        <v>36</v>
      </c>
    </row>
    <row r="91" spans="1:17" x14ac:dyDescent="0.2">
      <c r="A91" s="868"/>
      <c r="B91" s="869"/>
      <c r="C91" s="832"/>
      <c r="D91" s="832"/>
      <c r="E91" s="145" t="s">
        <v>118</v>
      </c>
      <c r="F91" s="145" t="s">
        <v>119</v>
      </c>
      <c r="G91" s="145">
        <f t="shared" si="38"/>
        <v>614.1</v>
      </c>
      <c r="H91" s="376">
        <v>2.6999999999999999E-5</v>
      </c>
      <c r="I91" s="145" t="s">
        <v>509</v>
      </c>
      <c r="J91" s="145" t="s">
        <v>514</v>
      </c>
      <c r="K91" s="433">
        <f t="shared" si="41"/>
        <v>16.5807</v>
      </c>
      <c r="L91" s="133">
        <f t="shared" si="14"/>
        <v>1.2196028615411554</v>
      </c>
      <c r="M91" s="433">
        <f t="shared" si="42"/>
        <v>2.6999999999999999E-5</v>
      </c>
      <c r="N91" s="133">
        <f t="shared" si="15"/>
        <v>-4.5686362358410131</v>
      </c>
      <c r="O91" s="145" t="s">
        <v>33</v>
      </c>
      <c r="P91" s="737" t="s">
        <v>511</v>
      </c>
      <c r="Q91" s="100">
        <f>VLOOKUP(P91,References!$B$7:$F$252,5,FALSE)</f>
        <v>36</v>
      </c>
    </row>
    <row r="92" spans="1:17" x14ac:dyDescent="0.2">
      <c r="A92" s="879"/>
      <c r="B92" s="851"/>
      <c r="C92" s="834"/>
      <c r="D92" s="834"/>
      <c r="E92" s="239" t="s">
        <v>118</v>
      </c>
      <c r="F92" s="239" t="s">
        <v>119</v>
      </c>
      <c r="G92" s="239">
        <f>G83+50</f>
        <v>614.1</v>
      </c>
      <c r="H92" s="344">
        <v>1.35E-4</v>
      </c>
      <c r="I92" s="239" t="s">
        <v>509</v>
      </c>
      <c r="J92" s="239" t="s">
        <v>515</v>
      </c>
      <c r="K92" s="469">
        <f t="shared" si="41"/>
        <v>82.903500000000008</v>
      </c>
      <c r="L92" s="294">
        <f t="shared" si="14"/>
        <v>1.9185728658771743</v>
      </c>
      <c r="M92" s="469">
        <f t="shared" si="42"/>
        <v>1.35E-4</v>
      </c>
      <c r="N92" s="294">
        <f t="shared" si="15"/>
        <v>-3.8696662315049939</v>
      </c>
      <c r="O92" s="239">
        <v>25</v>
      </c>
      <c r="P92" s="738" t="s">
        <v>511</v>
      </c>
      <c r="Q92" s="122">
        <f>VLOOKUP(P92,References!$B$7:$F$252,5,FALSE)</f>
        <v>36</v>
      </c>
    </row>
    <row r="93" spans="1:17" x14ac:dyDescent="0.2">
      <c r="A93" s="868" t="s">
        <v>126</v>
      </c>
      <c r="B93" s="869" t="s">
        <v>127</v>
      </c>
      <c r="C93" s="832">
        <v>664.1</v>
      </c>
      <c r="D93" s="832" t="s">
        <v>128</v>
      </c>
      <c r="E93" s="145" t="s">
        <v>127</v>
      </c>
      <c r="F93" s="58" t="s">
        <v>128</v>
      </c>
      <c r="G93" s="58">
        <v>664.1</v>
      </c>
      <c r="H93" s="58">
        <v>-5.6</v>
      </c>
      <c r="I93" s="58" t="s">
        <v>518</v>
      </c>
      <c r="J93" s="58" t="s">
        <v>519</v>
      </c>
      <c r="K93" s="433">
        <f t="shared" si="41"/>
        <v>2.5118864315095806E-6</v>
      </c>
      <c r="L93" s="178">
        <f t="shared" si="14"/>
        <v>-5.6</v>
      </c>
      <c r="M93" s="433">
        <f t="shared" si="42"/>
        <v>3.7823918559096229E-12</v>
      </c>
      <c r="N93" s="178">
        <f t="shared" si="15"/>
        <v>-11.422233480238845</v>
      </c>
      <c r="O93" s="58">
        <v>25</v>
      </c>
      <c r="P93" s="600" t="s">
        <v>520</v>
      </c>
      <c r="Q93" s="100">
        <f>VLOOKUP(P93,References!$B$7:$F$252,5,FALSE)</f>
        <v>14</v>
      </c>
    </row>
    <row r="94" spans="1:17" x14ac:dyDescent="0.2">
      <c r="A94" s="868"/>
      <c r="B94" s="869"/>
      <c r="C94" s="832"/>
      <c r="D94" s="832"/>
      <c r="E94" s="145" t="s">
        <v>127</v>
      </c>
      <c r="F94" s="58" t="s">
        <v>128</v>
      </c>
      <c r="G94" s="58">
        <v>664.1</v>
      </c>
      <c r="H94" s="58">
        <v>-6.59</v>
      </c>
      <c r="I94" s="58" t="s">
        <v>521</v>
      </c>
      <c r="J94" s="58" t="s">
        <v>522</v>
      </c>
      <c r="K94" s="433">
        <f t="shared" si="41"/>
        <v>0.17069998393368008</v>
      </c>
      <c r="L94" s="178">
        <f t="shared" si="14"/>
        <v>-0.7677665197611564</v>
      </c>
      <c r="M94" s="433">
        <f t="shared" si="42"/>
        <v>2.5703957827688611E-7</v>
      </c>
      <c r="N94" s="178">
        <f t="shared" si="15"/>
        <v>-6.59</v>
      </c>
      <c r="O94" s="58" t="s">
        <v>33</v>
      </c>
      <c r="P94" s="600" t="s">
        <v>523</v>
      </c>
      <c r="Q94" s="100">
        <f>VLOOKUP(P94,References!$B$7:$F$252,5,FALSE)</f>
        <v>127</v>
      </c>
    </row>
    <row r="95" spans="1:17" x14ac:dyDescent="0.2">
      <c r="A95" s="868"/>
      <c r="B95" s="869"/>
      <c r="C95" s="832"/>
      <c r="D95" s="832"/>
      <c r="E95" s="145" t="s">
        <v>127</v>
      </c>
      <c r="F95" s="58" t="s">
        <v>128</v>
      </c>
      <c r="G95" s="58">
        <v>664.1</v>
      </c>
      <c r="H95" s="354">
        <v>7.9999999999999996E-6</v>
      </c>
      <c r="I95" s="58" t="s">
        <v>509</v>
      </c>
      <c r="J95" s="58" t="s">
        <v>514</v>
      </c>
      <c r="K95" s="433">
        <f t="shared" si="41"/>
        <v>5.3128000000000002</v>
      </c>
      <c r="L95" s="178">
        <f t="shared" ref="L95:L191" si="43">IF(I95="log-mg/L",H95,LOG(K95))</f>
        <v>0.72532346723078767</v>
      </c>
      <c r="M95" s="433">
        <f t="shared" si="42"/>
        <v>7.9999999999999996E-6</v>
      </c>
      <c r="N95" s="178">
        <f t="shared" ref="N95:N103" si="44">IF(I95="log-mol/L",H95,LOG(M95))</f>
        <v>-5.0969100130080562</v>
      </c>
      <c r="O95" s="58" t="s">
        <v>33</v>
      </c>
      <c r="P95" s="600" t="s">
        <v>511</v>
      </c>
      <c r="Q95" s="100">
        <f>VLOOKUP(P95,References!$B$7:$F$252,5,FALSE)</f>
        <v>36</v>
      </c>
    </row>
    <row r="96" spans="1:17" x14ac:dyDescent="0.2">
      <c r="A96" s="868"/>
      <c r="B96" s="869"/>
      <c r="C96" s="832"/>
      <c r="D96" s="834"/>
      <c r="E96" s="239" t="s">
        <v>127</v>
      </c>
      <c r="F96" s="59" t="s">
        <v>128</v>
      </c>
      <c r="G96" s="59">
        <v>664.1</v>
      </c>
      <c r="H96" s="327">
        <v>4.2899999999999999E-5</v>
      </c>
      <c r="I96" s="59" t="s">
        <v>509</v>
      </c>
      <c r="J96" s="59" t="s">
        <v>515</v>
      </c>
      <c r="K96" s="469">
        <f t="shared" si="41"/>
        <v>28.489889999999999</v>
      </c>
      <c r="L96" s="183">
        <f t="shared" si="43"/>
        <v>1.4546907724235683</v>
      </c>
      <c r="M96" s="469">
        <f t="shared" si="42"/>
        <v>4.2899999999999999E-5</v>
      </c>
      <c r="N96" s="183">
        <f t="shared" si="44"/>
        <v>-4.367542707815276</v>
      </c>
      <c r="O96" s="59">
        <v>25</v>
      </c>
      <c r="P96" s="598" t="s">
        <v>511</v>
      </c>
      <c r="Q96" s="122">
        <f>VLOOKUP(P96,References!$B$7:$F$252,5,FALSE)</f>
        <v>36</v>
      </c>
    </row>
    <row r="97" spans="1:17" x14ac:dyDescent="0.2">
      <c r="A97" s="867" t="s">
        <v>134</v>
      </c>
      <c r="B97" s="850" t="s">
        <v>135</v>
      </c>
      <c r="C97" s="833">
        <v>714.1</v>
      </c>
      <c r="D97" s="833" t="s">
        <v>136</v>
      </c>
      <c r="E97" s="151" t="s">
        <v>135</v>
      </c>
      <c r="F97" s="57" t="s">
        <v>136</v>
      </c>
      <c r="G97" s="57">
        <v>714.1</v>
      </c>
      <c r="H97" s="58">
        <v>-7.42</v>
      </c>
      <c r="I97" s="58" t="s">
        <v>521</v>
      </c>
      <c r="J97" s="58" t="s">
        <v>522</v>
      </c>
      <c r="K97" s="433">
        <f>IF(I97="mg/L",H97,IF(I97="log-mg/L",10^H97,IF(I97="g/L",H97*1000,IF(I97="ug/L",H97/1000,IF(I97="ng/mL",H97/1000,IF(I97="mol/L",H97*G99*1000,IF(I97="log-mol/L",(10^(H97))*G99*1000)))))))</f>
        <v>2.7149324791251272E-2</v>
      </c>
      <c r="L97" s="178">
        <f>IF(I97="log-mg/L",H97,LOG(K97))</f>
        <v>-1.5662409669252313</v>
      </c>
      <c r="M97" s="433">
        <f>IF(I97="mol/L",H97,(K97/1000)/G99)</f>
        <v>3.8018939632056113E-8</v>
      </c>
      <c r="N97" s="178">
        <f>IF(I97="log-mol/L",H97,LOG(M97))</f>
        <v>-7.42</v>
      </c>
      <c r="O97" s="58" t="s">
        <v>33</v>
      </c>
      <c r="P97" s="600" t="s">
        <v>523</v>
      </c>
      <c r="Q97" s="100">
        <f>VLOOKUP(P97,References!$B$7:$F$252,5,FALSE)</f>
        <v>127</v>
      </c>
    </row>
    <row r="98" spans="1:17" x14ac:dyDescent="0.2">
      <c r="A98" s="868"/>
      <c r="B98" s="869"/>
      <c r="C98" s="832"/>
      <c r="D98" s="832"/>
      <c r="E98" s="145" t="s">
        <v>135</v>
      </c>
      <c r="F98" s="58" t="s">
        <v>136</v>
      </c>
      <c r="G98" s="58">
        <v>714.1</v>
      </c>
      <c r="H98" s="58">
        <v>0.29599999999999999</v>
      </c>
      <c r="I98" s="58" t="s">
        <v>507</v>
      </c>
      <c r="J98" s="58" t="s">
        <v>27</v>
      </c>
      <c r="K98" s="433">
        <f>IF(I98="mg/L",H98,IF(I98="log-mg/L",10^H98,IF(I98="g/L",H98*1000,IF(I98="ug/L",H98/1000,IF(I98="ng/mL",H98/1000,IF(I98="mol/L",H98*G97*1000,IF(I98="log-mol/L",(10^(H98))*G97*1000)))))))</f>
        <v>0.29599999999999999</v>
      </c>
      <c r="L98" s="178">
        <f t="shared" si="43"/>
        <v>-0.52870828894106148</v>
      </c>
      <c r="M98" s="433">
        <f>IF(I98="mol/L",H98,(K98/1000)/G97)</f>
        <v>4.1450777202072535E-7</v>
      </c>
      <c r="N98" s="178">
        <f t="shared" si="44"/>
        <v>-6.3824673220158301</v>
      </c>
      <c r="O98" s="58">
        <v>25</v>
      </c>
      <c r="P98" s="600" t="s">
        <v>529</v>
      </c>
      <c r="Q98" s="100">
        <f>VLOOKUP(P98,References!$B$7:$F$252,5,FALSE)</f>
        <v>52</v>
      </c>
    </row>
    <row r="99" spans="1:17" x14ac:dyDescent="0.2">
      <c r="A99" s="868"/>
      <c r="B99" s="869"/>
      <c r="C99" s="832"/>
      <c r="D99" s="832"/>
      <c r="E99" s="145" t="s">
        <v>135</v>
      </c>
      <c r="F99" s="58" t="s">
        <v>136</v>
      </c>
      <c r="G99" s="58">
        <v>714.1</v>
      </c>
      <c r="H99" s="58">
        <v>-8.4</v>
      </c>
      <c r="I99" s="58" t="s">
        <v>521</v>
      </c>
      <c r="J99" s="58" t="s">
        <v>524</v>
      </c>
      <c r="K99" s="433">
        <f>IF(I99="mg/L",H99,IF(I99="log-mg/L",10^H99,IF(I99="g/L",H99*1000,IF(I99="ug/L",H99/1000,IF(I99="ng/mL",H99/1000,IF(I99="mol/L",H99*G98*1000,IF(I99="log-mol/L",(10^(H99))*G98*1000)))))))</f>
        <v>2.8428833049225196E-3</v>
      </c>
      <c r="L99" s="178">
        <f t="shared" ref="L99" si="45">IF(I99="log-mg/L",H99,LOG(K99))</f>
        <v>-2.5462409669252319</v>
      </c>
      <c r="M99" s="433">
        <f>IF(I99="mol/L",H99,(K99/1000)/G98)</f>
        <v>3.9810717055349665E-9</v>
      </c>
      <c r="N99" s="178">
        <f t="shared" ref="N99" si="46">IF(I99="log-mol/L",H99,LOG(M99))</f>
        <v>-8.4</v>
      </c>
      <c r="O99" s="58">
        <v>25</v>
      </c>
      <c r="P99" s="600" t="s">
        <v>525</v>
      </c>
      <c r="Q99" s="100">
        <f>VLOOKUP(P99,References!$B$7:$F$252,5,FALSE)</f>
        <v>61</v>
      </c>
    </row>
    <row r="100" spans="1:17" x14ac:dyDescent="0.2">
      <c r="A100" s="868"/>
      <c r="B100" s="869"/>
      <c r="C100" s="832"/>
      <c r="D100" s="832"/>
      <c r="E100" s="145" t="s">
        <v>135</v>
      </c>
      <c r="F100" s="58" t="s">
        <v>136</v>
      </c>
      <c r="G100" s="58">
        <v>714.1</v>
      </c>
      <c r="H100" s="58">
        <v>0.29599999999999999</v>
      </c>
      <c r="I100" s="58" t="s">
        <v>507</v>
      </c>
      <c r="J100" s="58" t="s">
        <v>27</v>
      </c>
      <c r="K100" s="433">
        <f>IF(I100="mg/L",H100,IF(I100="log-mg/L",10^H100,IF(I100="g/L",H100*1000,IF(I100="ug/L",H100/1000,IF(I100="ng/mL",H100/1000,IF(I100="mol/L",H100*G99*1000,IF(I100="log-mol/L",(10^(H100))*G99*1000)))))))</f>
        <v>0.29599999999999999</v>
      </c>
      <c r="L100" s="178">
        <f t="shared" ref="L100" si="47">IF(I100="log-mg/L",H100,LOG(K100))</f>
        <v>-0.52870828894106148</v>
      </c>
      <c r="M100" s="433">
        <f>IF(I100="mol/L",H100,(K100/1000)/G99)</f>
        <v>4.1450777202072535E-7</v>
      </c>
      <c r="N100" s="178">
        <f t="shared" ref="N100" si="48">IF(I100="log-mol/L",H100,LOG(M100))</f>
        <v>-6.3824673220158301</v>
      </c>
      <c r="O100" s="58" t="s">
        <v>33</v>
      </c>
      <c r="P100" s="737" t="s">
        <v>47</v>
      </c>
      <c r="Q100" s="100">
        <f>VLOOKUP(P100,References!$B$7:$F$252,5,FALSE)</f>
        <v>3</v>
      </c>
    </row>
    <row r="101" spans="1:17" x14ac:dyDescent="0.2">
      <c r="A101" s="868"/>
      <c r="B101" s="869"/>
      <c r="C101" s="832"/>
      <c r="D101" s="832"/>
      <c r="E101" s="145" t="s">
        <v>135</v>
      </c>
      <c r="F101" s="58" t="s">
        <v>136</v>
      </c>
      <c r="G101" s="58">
        <v>714.1</v>
      </c>
      <c r="H101" s="354">
        <v>4.5999999999999998E-15</v>
      </c>
      <c r="I101" s="58" t="s">
        <v>509</v>
      </c>
      <c r="J101" s="58" t="s">
        <v>513</v>
      </c>
      <c r="K101" s="433">
        <f>IF(I101="mg/L",H101,IF(I101="log-mg/L",10^H101,IF(I101="g/L",H101*1000,IF(I101="ug/L",H101/1000,IF(I101="ng/mL",H101/1000,IF(I101="mol/L",H101*G101*1000,IF(I101="log-mol/L",(10^(H101))*G101*1000)))))))</f>
        <v>3.2848599999999998E-9</v>
      </c>
      <c r="L101" s="178">
        <f t="shared" si="43"/>
        <v>-8.4834831352436577</v>
      </c>
      <c r="M101" s="433">
        <f>IF(I101="mol/L",H101,(K101/1000)/G101)</f>
        <v>4.5999999999999998E-15</v>
      </c>
      <c r="N101" s="178">
        <f t="shared" si="44"/>
        <v>-14.337242168318426</v>
      </c>
      <c r="O101" s="58" t="s">
        <v>33</v>
      </c>
      <c r="P101" s="600" t="s">
        <v>511</v>
      </c>
      <c r="Q101" s="100">
        <f>VLOOKUP(P101,References!$B$7:$F$252,5,FALSE)</f>
        <v>36</v>
      </c>
    </row>
    <row r="102" spans="1:17" x14ac:dyDescent="0.2">
      <c r="A102" s="868"/>
      <c r="B102" s="869"/>
      <c r="C102" s="832"/>
      <c r="D102" s="832"/>
      <c r="E102" s="145" t="s">
        <v>135</v>
      </c>
      <c r="F102" s="58" t="s">
        <v>136</v>
      </c>
      <c r="G102" s="58">
        <v>714.1</v>
      </c>
      <c r="H102" s="354">
        <v>2.0999999999999998E-6</v>
      </c>
      <c r="I102" s="58" t="s">
        <v>509</v>
      </c>
      <c r="J102" s="58" t="s">
        <v>514</v>
      </c>
      <c r="K102" s="433">
        <f>IF(I102="mg/L",H102,IF(I102="log-mg/L",10^H102,IF(I102="g/L",H102*1000,IF(I102="ug/L",H102/1000,IF(I102="ng/mL",H102/1000,IF(I102="mol/L",H102*G102*1000,IF(I102="log-mol/L",(10^(H102))*G102*1000)))))))</f>
        <v>1.4996099999999999</v>
      </c>
      <c r="L102" s="178">
        <f t="shared" si="43"/>
        <v>0.175978327808688</v>
      </c>
      <c r="M102" s="433">
        <f>IF(I102="mol/L",H102,(K102/1000)/G102)</f>
        <v>2.0999999999999998E-6</v>
      </c>
      <c r="N102" s="178">
        <f t="shared" si="44"/>
        <v>-5.6777807052660805</v>
      </c>
      <c r="O102" s="58" t="s">
        <v>33</v>
      </c>
      <c r="P102" s="600" t="s">
        <v>511</v>
      </c>
      <c r="Q102" s="100">
        <f>VLOOKUP(P102,References!$B$7:$F$252,5,FALSE)</f>
        <v>36</v>
      </c>
    </row>
    <row r="103" spans="1:17" ht="17" thickBot="1" x14ac:dyDescent="0.25">
      <c r="A103" s="880"/>
      <c r="B103" s="881"/>
      <c r="C103" s="845"/>
      <c r="D103" s="845"/>
      <c r="E103" s="146" t="s">
        <v>135</v>
      </c>
      <c r="F103" s="138" t="s">
        <v>136</v>
      </c>
      <c r="G103" s="138">
        <v>714.1</v>
      </c>
      <c r="H103" s="324">
        <v>3.2499999999999997E-5</v>
      </c>
      <c r="I103" s="138" t="s">
        <v>509</v>
      </c>
      <c r="J103" s="138" t="s">
        <v>515</v>
      </c>
      <c r="K103" s="604">
        <f>IF(I103="mg/L",H103,IF(I103="log-mg/L",10^H103,IF(I103="g/L",H103*1000,IF(I103="ug/L",H103/1000,IF(I103="ng/mL",H103/1000,IF(I103="mol/L",H103*G103*1000,IF(I103="log-mol/L",(10^(H103))*G103*1000)))))))</f>
        <v>23.20825</v>
      </c>
      <c r="L103" s="284">
        <f t="shared" si="43"/>
        <v>1.3656423940536431</v>
      </c>
      <c r="M103" s="604">
        <f>IF(I103="mol/L",H103,(K103/1000)/G103)</f>
        <v>3.2499999999999997E-5</v>
      </c>
      <c r="N103" s="284">
        <f t="shared" si="44"/>
        <v>-4.4881166390211256</v>
      </c>
      <c r="O103" s="138">
        <v>25</v>
      </c>
      <c r="P103" s="597" t="s">
        <v>511</v>
      </c>
      <c r="Q103" s="101">
        <f>VLOOKUP(P103,References!$B$7:$F$252,5,FALSE)</f>
        <v>36</v>
      </c>
    </row>
    <row r="104" spans="1:17" ht="17" thickBot="1" x14ac:dyDescent="0.25">
      <c r="A104" s="78" t="s">
        <v>141</v>
      </c>
      <c r="B104" s="158" t="s">
        <v>142</v>
      </c>
      <c r="C104" s="82"/>
      <c r="D104" s="82"/>
      <c r="E104" s="79"/>
      <c r="F104" s="175"/>
      <c r="G104" s="175"/>
      <c r="H104" s="175"/>
      <c r="I104" s="175"/>
      <c r="J104" s="175"/>
      <c r="K104" s="594"/>
      <c r="L104" s="276"/>
      <c r="M104" s="594"/>
      <c r="N104" s="276"/>
      <c r="O104" s="175"/>
      <c r="P104" s="277"/>
      <c r="Q104" s="278"/>
    </row>
    <row r="105" spans="1:17" x14ac:dyDescent="0.2">
      <c r="A105" s="829" t="s">
        <v>143</v>
      </c>
      <c r="B105" s="831" t="s">
        <v>144</v>
      </c>
      <c r="C105" s="831">
        <v>150.07</v>
      </c>
      <c r="D105" s="831" t="s">
        <v>145</v>
      </c>
      <c r="E105" s="135" t="s">
        <v>144</v>
      </c>
      <c r="F105" s="135" t="s">
        <v>145</v>
      </c>
      <c r="G105" s="156">
        <v>150.07</v>
      </c>
      <c r="H105" s="177">
        <v>0.33100000000000002</v>
      </c>
      <c r="I105" s="135" t="s">
        <v>509</v>
      </c>
      <c r="J105" s="177" t="s">
        <v>515</v>
      </c>
      <c r="K105" s="603">
        <f t="shared" ref="K105:K108" si="49">IF(I105="mg/L",H105,IF(I105="log-mg/L",10^H105,IF(I105="g/L",H105*1000,IF(I105="ug/L",H105/1000,IF(I105="ng/mL",H105/1000,IF(I105="mol/L",H105*G105*1000,IF(I105="log-mol/L",(10^(H105))*G105*1000)))))))</f>
        <v>49673.17</v>
      </c>
      <c r="L105" s="323">
        <f t="shared" ref="L105:L108" si="50">IF(I105="log-mg/L",H105,LOG(K105))</f>
        <v>4.6961218763144847</v>
      </c>
      <c r="M105" s="603">
        <f t="shared" ref="M105:M108" si="51">IF(I105="mol/L",H105,(K105/1000)/G105)</f>
        <v>0.33100000000000002</v>
      </c>
      <c r="N105" s="323">
        <f t="shared" ref="N105:N108" si="52">IF(I105="log-mol/L",H105,LOG(M105))</f>
        <v>-0.48017200622428124</v>
      </c>
      <c r="O105" s="177">
        <v>25</v>
      </c>
      <c r="P105" s="708" t="s">
        <v>511</v>
      </c>
      <c r="Q105" s="99">
        <f>VLOOKUP(P105,References!$B$7:$F$252,5,FALSE)</f>
        <v>36</v>
      </c>
    </row>
    <row r="106" spans="1:17" x14ac:dyDescent="0.2">
      <c r="A106" s="830"/>
      <c r="B106" s="832"/>
      <c r="C106" s="832"/>
      <c r="D106" s="832"/>
      <c r="E106" s="58" t="s">
        <v>144</v>
      </c>
      <c r="F106" s="58" t="s">
        <v>145</v>
      </c>
      <c r="G106" s="145">
        <v>150.07</v>
      </c>
      <c r="H106" s="134">
        <v>0.373</v>
      </c>
      <c r="I106" s="58" t="s">
        <v>509</v>
      </c>
      <c r="J106" s="134" t="s">
        <v>512</v>
      </c>
      <c r="K106" s="433">
        <f t="shared" si="49"/>
        <v>55976.11</v>
      </c>
      <c r="L106" s="178">
        <f t="shared" si="50"/>
        <v>4.7480027143474537</v>
      </c>
      <c r="M106" s="433">
        <f t="shared" si="51"/>
        <v>0.373</v>
      </c>
      <c r="N106" s="178">
        <f t="shared" si="52"/>
        <v>-0.42829116819131241</v>
      </c>
      <c r="O106" s="134" t="s">
        <v>33</v>
      </c>
      <c r="P106" s="600" t="s">
        <v>511</v>
      </c>
      <c r="Q106" s="100">
        <f>VLOOKUP(P106,References!$B$7:$F$252,5,FALSE)</f>
        <v>36</v>
      </c>
    </row>
    <row r="107" spans="1:17" x14ac:dyDescent="0.2">
      <c r="A107" s="830"/>
      <c r="B107" s="832"/>
      <c r="C107" s="832"/>
      <c r="D107" s="832"/>
      <c r="E107" s="58" t="s">
        <v>144</v>
      </c>
      <c r="F107" s="58" t="s">
        <v>145</v>
      </c>
      <c r="G107" s="145">
        <v>150.07</v>
      </c>
      <c r="H107" s="134">
        <v>1.32</v>
      </c>
      <c r="I107" s="58" t="s">
        <v>509</v>
      </c>
      <c r="J107" s="134" t="s">
        <v>513</v>
      </c>
      <c r="K107" s="433">
        <f t="shared" si="49"/>
        <v>198092.4</v>
      </c>
      <c r="L107" s="178">
        <f t="shared" si="50"/>
        <v>5.2968678137446163</v>
      </c>
      <c r="M107" s="433">
        <f t="shared" si="51"/>
        <v>1.32</v>
      </c>
      <c r="N107" s="178">
        <f t="shared" si="52"/>
        <v>0.12057393120584989</v>
      </c>
      <c r="O107" s="134" t="s">
        <v>33</v>
      </c>
      <c r="P107" s="600" t="s">
        <v>511</v>
      </c>
      <c r="Q107" s="100">
        <f>VLOOKUP(P107,References!$B$7:$F$252,5,FALSE)</f>
        <v>36</v>
      </c>
    </row>
    <row r="108" spans="1:17" x14ac:dyDescent="0.2">
      <c r="A108" s="847"/>
      <c r="B108" s="834"/>
      <c r="C108" s="834"/>
      <c r="D108" s="834"/>
      <c r="E108" s="59" t="s">
        <v>144</v>
      </c>
      <c r="F108" s="59" t="s">
        <v>145</v>
      </c>
      <c r="G108" s="239">
        <v>150.07</v>
      </c>
      <c r="H108" s="195">
        <v>6.66</v>
      </c>
      <c r="I108" s="59" t="s">
        <v>509</v>
      </c>
      <c r="J108" s="195" t="s">
        <v>514</v>
      </c>
      <c r="K108" s="469">
        <f t="shared" si="49"/>
        <v>999466.2</v>
      </c>
      <c r="L108" s="183">
        <f t="shared" si="50"/>
        <v>5.9997681117090673</v>
      </c>
      <c r="M108" s="469">
        <f t="shared" si="51"/>
        <v>6.66</v>
      </c>
      <c r="N108" s="183">
        <f t="shared" si="52"/>
        <v>0.82347422917030111</v>
      </c>
      <c r="O108" s="195" t="s">
        <v>33</v>
      </c>
      <c r="P108" s="598" t="s">
        <v>511</v>
      </c>
      <c r="Q108" s="122">
        <f>VLOOKUP(P108,References!$B$7:$F$252,5,FALSE)</f>
        <v>36</v>
      </c>
    </row>
    <row r="109" spans="1:17" x14ac:dyDescent="0.2">
      <c r="A109" s="849" t="s">
        <v>151</v>
      </c>
      <c r="B109" s="833" t="s">
        <v>152</v>
      </c>
      <c r="C109" s="833">
        <v>200.08</v>
      </c>
      <c r="D109" s="833" t="s">
        <v>153</v>
      </c>
      <c r="E109" s="57" t="s">
        <v>152</v>
      </c>
      <c r="F109" s="57" t="s">
        <v>153</v>
      </c>
      <c r="G109" s="151">
        <v>200.08</v>
      </c>
      <c r="H109" s="200">
        <v>1.46E-2</v>
      </c>
      <c r="I109" s="57" t="s">
        <v>509</v>
      </c>
      <c r="J109" s="200" t="s">
        <v>512</v>
      </c>
      <c r="K109" s="694">
        <f t="shared" ref="K109:K111" si="53">IF(I109="mg/L",H109,IF(I109="log-mg/L",10^H109,IF(I109="g/L",H109*1000,IF(I109="ug/L",H109/1000,IF(I109="ng/mL",H109/1000,IF(I109="mol/L",H109*G109*1000,IF(I109="log-mol/L",(10^(H109))*G109*1000)))))))</f>
        <v>2921.1680000000001</v>
      </c>
      <c r="L109" s="181">
        <f t="shared" ref="L109:L111" si="54">IF(I109="log-mg/L",H109,LOG(K109))</f>
        <v>3.4655565345068831</v>
      </c>
      <c r="M109" s="694">
        <f t="shared" ref="M109:M111" si="55">IF(I109="mol/L",H109,(K109/1000)/G109)</f>
        <v>1.46E-2</v>
      </c>
      <c r="N109" s="181">
        <f t="shared" ref="N109:N111" si="56">IF(I109="log-mol/L",H109,LOG(M109))</f>
        <v>-1.8356471442155629</v>
      </c>
      <c r="O109" s="200" t="s">
        <v>33</v>
      </c>
      <c r="P109" s="733" t="s">
        <v>511</v>
      </c>
      <c r="Q109" s="121">
        <f>VLOOKUP(P109,References!$B$7:$F$252,5,FALSE)</f>
        <v>36</v>
      </c>
    </row>
    <row r="110" spans="1:17" x14ac:dyDescent="0.2">
      <c r="A110" s="830"/>
      <c r="B110" s="832"/>
      <c r="C110" s="832"/>
      <c r="D110" s="832"/>
      <c r="E110" s="58" t="s">
        <v>152</v>
      </c>
      <c r="F110" s="58" t="s">
        <v>153</v>
      </c>
      <c r="G110" s="145">
        <v>200.08</v>
      </c>
      <c r="H110" s="134">
        <v>2.63E-2</v>
      </c>
      <c r="I110" s="58" t="s">
        <v>509</v>
      </c>
      <c r="J110" s="134" t="s">
        <v>515</v>
      </c>
      <c r="K110" s="433">
        <f t="shared" si="53"/>
        <v>5262.1040000000012</v>
      </c>
      <c r="L110" s="178">
        <f t="shared" si="54"/>
        <v>3.7211594272122039</v>
      </c>
      <c r="M110" s="433">
        <f t="shared" si="55"/>
        <v>2.63E-2</v>
      </c>
      <c r="N110" s="178">
        <f t="shared" si="56"/>
        <v>-1.5800442515102422</v>
      </c>
      <c r="O110" s="134">
        <v>25</v>
      </c>
      <c r="P110" s="600" t="s">
        <v>511</v>
      </c>
      <c r="Q110" s="100">
        <f>VLOOKUP(P110,References!$B$7:$F$252,5,FALSE)</f>
        <v>36</v>
      </c>
    </row>
    <row r="111" spans="1:17" x14ac:dyDescent="0.2">
      <c r="A111" s="847"/>
      <c r="B111" s="834"/>
      <c r="C111" s="834"/>
      <c r="D111" s="834"/>
      <c r="E111" s="59" t="s">
        <v>152</v>
      </c>
      <c r="F111" s="59" t="s">
        <v>153</v>
      </c>
      <c r="G111" s="239">
        <v>200.08</v>
      </c>
      <c r="H111" s="195">
        <v>5</v>
      </c>
      <c r="I111" s="59" t="s">
        <v>509</v>
      </c>
      <c r="J111" s="195" t="s">
        <v>514</v>
      </c>
      <c r="K111" s="469">
        <f t="shared" si="53"/>
        <v>1000400.0000000001</v>
      </c>
      <c r="L111" s="183">
        <f t="shared" si="54"/>
        <v>6.0001736830584651</v>
      </c>
      <c r="M111" s="469">
        <f t="shared" si="55"/>
        <v>5</v>
      </c>
      <c r="N111" s="183">
        <f t="shared" si="56"/>
        <v>0.69897000433601886</v>
      </c>
      <c r="O111" s="195" t="s">
        <v>33</v>
      </c>
      <c r="P111" s="598" t="s">
        <v>511</v>
      </c>
      <c r="Q111" s="122">
        <f>VLOOKUP(P111,References!$B$7:$F$252,5,FALSE)</f>
        <v>36</v>
      </c>
    </row>
    <row r="112" spans="1:17" x14ac:dyDescent="0.2">
      <c r="A112" s="849" t="s">
        <v>157</v>
      </c>
      <c r="B112" s="833" t="s">
        <v>158</v>
      </c>
      <c r="C112" s="833">
        <v>250.09</v>
      </c>
      <c r="D112" s="833" t="s">
        <v>159</v>
      </c>
      <c r="E112" s="57" t="s">
        <v>158</v>
      </c>
      <c r="F112" s="57" t="s">
        <v>159</v>
      </c>
      <c r="G112" s="151">
        <v>250.09</v>
      </c>
      <c r="H112" s="739">
        <v>4.0699999999999998E-3</v>
      </c>
      <c r="I112" s="57" t="s">
        <v>509</v>
      </c>
      <c r="J112" s="200" t="s">
        <v>515</v>
      </c>
      <c r="K112" s="694">
        <f t="shared" ref="K112:K114" si="57">IF(I112="mg/L",H112,IF(I112="log-mg/L",10^H112,IF(I112="g/L",H112*1000,IF(I112="ug/L",H112/1000,IF(I112="ng/mL",H112/1000,IF(I112="mol/L",H112*G112*1000,IF(I112="log-mol/L",(10^(H112))*G112*1000)))))))</f>
        <v>1017.8662999999999</v>
      </c>
      <c r="L112" s="181">
        <f t="shared" ref="L112:L114" si="58">IF(I112="log-mg/L",H112,LOG(K112))</f>
        <v>3.0076907357752125</v>
      </c>
      <c r="M112" s="694">
        <f t="shared" ref="M112:M114" si="59">IF(I112="mol/L",H112,(K112/1000)/G112)</f>
        <v>4.0699999999999998E-3</v>
      </c>
      <c r="N112" s="181">
        <f t="shared" ref="N112:N114" si="60">IF(I112="log-mol/L",H112,LOG(M112))</f>
        <v>-2.3904055907747801</v>
      </c>
      <c r="O112" s="200">
        <v>25</v>
      </c>
      <c r="P112" s="733" t="s">
        <v>511</v>
      </c>
      <c r="Q112" s="121">
        <f>VLOOKUP(P112,References!$B$7:$F$252,5,FALSE)</f>
        <v>36</v>
      </c>
    </row>
    <row r="113" spans="1:17" x14ac:dyDescent="0.2">
      <c r="A113" s="830"/>
      <c r="B113" s="832"/>
      <c r="C113" s="832"/>
      <c r="D113" s="832"/>
      <c r="E113" s="58" t="s">
        <v>158</v>
      </c>
      <c r="F113" s="58" t="s">
        <v>159</v>
      </c>
      <c r="G113" s="145">
        <v>250.09</v>
      </c>
      <c r="H113" s="447">
        <v>7.7600000000000004E-3</v>
      </c>
      <c r="I113" s="58" t="s">
        <v>509</v>
      </c>
      <c r="J113" s="134" t="s">
        <v>512</v>
      </c>
      <c r="K113" s="433">
        <f t="shared" si="57"/>
        <v>1940.6984</v>
      </c>
      <c r="L113" s="178">
        <f t="shared" si="58"/>
        <v>3.2879580478081811</v>
      </c>
      <c r="M113" s="433">
        <f t="shared" si="59"/>
        <v>7.7600000000000004E-3</v>
      </c>
      <c r="N113" s="178">
        <f t="shared" si="60"/>
        <v>-2.1101382787418115</v>
      </c>
      <c r="O113" s="134" t="s">
        <v>33</v>
      </c>
      <c r="P113" s="600" t="s">
        <v>511</v>
      </c>
      <c r="Q113" s="100">
        <f>VLOOKUP(P113,References!$B$7:$F$252,5,FALSE)</f>
        <v>36</v>
      </c>
    </row>
    <row r="114" spans="1:17" x14ac:dyDescent="0.2">
      <c r="A114" s="847"/>
      <c r="B114" s="834"/>
      <c r="C114" s="834"/>
      <c r="D114" s="834"/>
      <c r="E114" s="59" t="s">
        <v>158</v>
      </c>
      <c r="F114" s="59" t="s">
        <v>159</v>
      </c>
      <c r="G114" s="239">
        <v>250.09</v>
      </c>
      <c r="H114" s="195">
        <v>4</v>
      </c>
      <c r="I114" s="59" t="s">
        <v>509</v>
      </c>
      <c r="J114" s="195" t="s">
        <v>514</v>
      </c>
      <c r="K114" s="469">
        <f t="shared" si="57"/>
        <v>1000360</v>
      </c>
      <c r="L114" s="183">
        <f t="shared" si="58"/>
        <v>6.0001563178779547</v>
      </c>
      <c r="M114" s="469">
        <f t="shared" si="59"/>
        <v>4</v>
      </c>
      <c r="N114" s="183">
        <f t="shared" si="60"/>
        <v>0.6020599913279624</v>
      </c>
      <c r="O114" s="195" t="s">
        <v>33</v>
      </c>
      <c r="P114" s="598" t="s">
        <v>511</v>
      </c>
      <c r="Q114" s="122">
        <f>VLOOKUP(P114,References!$B$7:$F$252,5,FALSE)</f>
        <v>36</v>
      </c>
    </row>
    <row r="115" spans="1:17" x14ac:dyDescent="0.2">
      <c r="A115" s="868" t="s">
        <v>163</v>
      </c>
      <c r="B115" s="869" t="s">
        <v>164</v>
      </c>
      <c r="C115" s="832">
        <v>300.10000000000002</v>
      </c>
      <c r="D115" s="832" t="s">
        <v>531</v>
      </c>
      <c r="E115" s="145" t="s">
        <v>164</v>
      </c>
      <c r="F115" s="58" t="s">
        <v>531</v>
      </c>
      <c r="G115" s="58">
        <v>300.10000000000002</v>
      </c>
      <c r="H115" s="58">
        <v>-1</v>
      </c>
      <c r="I115" s="58" t="s">
        <v>521</v>
      </c>
      <c r="J115" s="58" t="s">
        <v>522</v>
      </c>
      <c r="K115" s="433">
        <f>IF(I115="mg/L",H115,IF(I115="log-mg/L",10^H115,IF(I115="g/L",H115*1000,IF(I115="ug/L",H115/1000,IF(I115="ng/mL",H115/1000,IF(I115="mol/L",H115*G115*1000,IF(I115="log-mol/L",(10^(H115))*G115*1000)))))))</f>
        <v>30010.000000000004</v>
      </c>
      <c r="L115" s="178">
        <f t="shared" si="43"/>
        <v>4.4772659954248528</v>
      </c>
      <c r="M115" s="433">
        <f>IF(I115="mol/L",H115,(K115/1000)/G115)</f>
        <v>0.1</v>
      </c>
      <c r="N115" s="178">
        <f t="shared" ref="N115:N156" si="61">IF(I115="log-mol/L",H115,LOG(M115))</f>
        <v>-1</v>
      </c>
      <c r="O115" s="58" t="s">
        <v>33</v>
      </c>
      <c r="P115" s="600" t="s">
        <v>523</v>
      </c>
      <c r="Q115" s="100">
        <f>VLOOKUP(P115,References!$B$7:$F$252,5,FALSE)</f>
        <v>127</v>
      </c>
    </row>
    <row r="116" spans="1:17" x14ac:dyDescent="0.2">
      <c r="A116" s="868"/>
      <c r="B116" s="869"/>
      <c r="C116" s="832"/>
      <c r="D116" s="832"/>
      <c r="E116" s="145" t="s">
        <v>164</v>
      </c>
      <c r="F116" s="58" t="s">
        <v>531</v>
      </c>
      <c r="G116" s="58">
        <v>300.10000000000002</v>
      </c>
      <c r="H116" s="58">
        <v>-1.64</v>
      </c>
      <c r="I116" s="58" t="s">
        <v>521</v>
      </c>
      <c r="J116" s="58" t="s">
        <v>524</v>
      </c>
      <c r="K116" s="433">
        <f>IF(I116="mg/L",H116,IF(I116="log-mg/L",10^H116,IF(I116="g/L",H116*1000,IF(I116="ug/L",H116/1000,IF(I116="ng/mL",H116/1000,IF(I116="mol/L",H116*G115*1000,IF(I116="log-mol/L",(10^(H116))*G115*1000)))))))</f>
        <v>6874.8938259560846</v>
      </c>
      <c r="L116" s="178">
        <f t="shared" ref="L116" si="62">IF(I116="log-mg/L",H116,LOG(K116))</f>
        <v>3.8372659954248527</v>
      </c>
      <c r="M116" s="433">
        <f>IF(I116="mol/L",H116,(K116/1000)/G115)</f>
        <v>2.2908676527677724E-2</v>
      </c>
      <c r="N116" s="178">
        <f t="shared" ref="N116" si="63">IF(I116="log-mol/L",H116,LOG(M116))</f>
        <v>-1.64</v>
      </c>
      <c r="O116" s="58">
        <v>25</v>
      </c>
      <c r="P116" s="600" t="s">
        <v>525</v>
      </c>
      <c r="Q116" s="100">
        <f>VLOOKUP(P116,References!$B$7:$F$252,5,FALSE)</f>
        <v>61</v>
      </c>
    </row>
    <row r="117" spans="1:17" x14ac:dyDescent="0.2">
      <c r="A117" s="868"/>
      <c r="B117" s="869"/>
      <c r="C117" s="832"/>
      <c r="D117" s="832"/>
      <c r="E117" s="145" t="s">
        <v>164</v>
      </c>
      <c r="F117" s="58" t="s">
        <v>531</v>
      </c>
      <c r="G117" s="58">
        <v>300.10000000000002</v>
      </c>
      <c r="H117" s="354">
        <v>3.57E-4</v>
      </c>
      <c r="I117" s="58" t="s">
        <v>509</v>
      </c>
      <c r="J117" s="58" t="s">
        <v>513</v>
      </c>
      <c r="K117" s="433">
        <f>IF(I117="mg/L",H117,IF(I117="log-mg/L",10^H117,IF(I117="g/L",H117*1000,IF(I117="ug/L",H117/1000,IF(I117="ng/mL",H117/1000,IF(I117="mol/L",H117*G116*1000,IF(I117="log-mol/L",(10^(H117))*G116*1000)))))))</f>
        <v>107.13570000000001</v>
      </c>
      <c r="L117" s="178">
        <f t="shared" si="43"/>
        <v>2.029934211537046</v>
      </c>
      <c r="M117" s="433">
        <f>IF(I117="mol/L",H117,(K117/1000)/G116)</f>
        <v>3.57E-4</v>
      </c>
      <c r="N117" s="178">
        <f t="shared" si="61"/>
        <v>-3.4473317838878068</v>
      </c>
      <c r="O117" s="58" t="s">
        <v>33</v>
      </c>
      <c r="P117" s="600" t="s">
        <v>511</v>
      </c>
      <c r="Q117" s="100">
        <f>VLOOKUP(P117,References!$B$7:$F$252,5,FALSE)</f>
        <v>36</v>
      </c>
    </row>
    <row r="118" spans="1:17" x14ac:dyDescent="0.2">
      <c r="A118" s="868"/>
      <c r="B118" s="869"/>
      <c r="C118" s="832"/>
      <c r="D118" s="832"/>
      <c r="E118" s="145" t="s">
        <v>164</v>
      </c>
      <c r="F118" s="58" t="s">
        <v>531</v>
      </c>
      <c r="G118" s="58">
        <v>300.10000000000002</v>
      </c>
      <c r="H118" s="349">
        <v>2.7899999999999999E-3</v>
      </c>
      <c r="I118" s="58" t="s">
        <v>509</v>
      </c>
      <c r="J118" s="58" t="s">
        <v>512</v>
      </c>
      <c r="K118" s="433">
        <f t="shared" ref="K118:K124" si="64">IF(I118="mg/L",H118,IF(I118="log-mg/L",10^H118,IF(I118="g/L",H118*1000,IF(I118="ug/L",H118/1000,IF(I118="ng/mL",H118/1000,IF(I118="mol/L",H118*G118*1000,IF(I118="log-mol/L",(10^(H118))*G118*1000)))))))</f>
        <v>837.279</v>
      </c>
      <c r="L118" s="178">
        <f t="shared" si="43"/>
        <v>2.9228701986984502</v>
      </c>
      <c r="M118" s="433">
        <f t="shared" ref="M118:M124" si="65">IF(I118="mol/L",H118,(K118/1000)/G118)</f>
        <v>2.7899999999999999E-3</v>
      </c>
      <c r="N118" s="178">
        <f t="shared" si="61"/>
        <v>-2.5543957967264026</v>
      </c>
      <c r="O118" s="58" t="s">
        <v>33</v>
      </c>
      <c r="P118" s="600" t="s">
        <v>511</v>
      </c>
      <c r="Q118" s="100">
        <f>VLOOKUP(P118,References!$B$7:$F$252,5,FALSE)</f>
        <v>36</v>
      </c>
    </row>
    <row r="119" spans="1:17" x14ac:dyDescent="0.2">
      <c r="A119" s="868"/>
      <c r="B119" s="869"/>
      <c r="C119" s="832"/>
      <c r="D119" s="832"/>
      <c r="E119" s="145" t="s">
        <v>164</v>
      </c>
      <c r="F119" s="58" t="s">
        <v>531</v>
      </c>
      <c r="G119" s="58">
        <v>300.10000000000002</v>
      </c>
      <c r="H119" s="350">
        <v>3.33</v>
      </c>
      <c r="I119" s="58" t="s">
        <v>509</v>
      </c>
      <c r="J119" s="58" t="s">
        <v>514</v>
      </c>
      <c r="K119" s="433">
        <f t="shared" si="64"/>
        <v>999333.00000000012</v>
      </c>
      <c r="L119" s="178">
        <f t="shared" si="43"/>
        <v>5.9997102289311721</v>
      </c>
      <c r="M119" s="433">
        <f t="shared" si="65"/>
        <v>3.33</v>
      </c>
      <c r="N119" s="178">
        <f t="shared" si="61"/>
        <v>0.52244423350631986</v>
      </c>
      <c r="O119" s="58" t="s">
        <v>33</v>
      </c>
      <c r="P119" s="600" t="s">
        <v>511</v>
      </c>
      <c r="Q119" s="100">
        <f>VLOOKUP(P119,References!$B$7:$F$252,5,FALSE)</f>
        <v>36</v>
      </c>
    </row>
    <row r="120" spans="1:17" x14ac:dyDescent="0.2">
      <c r="A120" s="879"/>
      <c r="B120" s="851"/>
      <c r="C120" s="834"/>
      <c r="D120" s="834"/>
      <c r="E120" s="239" t="s">
        <v>164</v>
      </c>
      <c r="F120" s="59" t="s">
        <v>531</v>
      </c>
      <c r="G120" s="59">
        <v>300.10000000000002</v>
      </c>
      <c r="H120" s="325">
        <v>7.2500000000000004E-3</v>
      </c>
      <c r="I120" s="59" t="s">
        <v>509</v>
      </c>
      <c r="J120" s="59" t="s">
        <v>515</v>
      </c>
      <c r="K120" s="469">
        <f t="shared" si="64"/>
        <v>2175.7250000000004</v>
      </c>
      <c r="L120" s="183">
        <f t="shared" si="43"/>
        <v>3.3376040019958464</v>
      </c>
      <c r="M120" s="469">
        <f t="shared" si="65"/>
        <v>7.2500000000000004E-3</v>
      </c>
      <c r="N120" s="183">
        <f t="shared" si="61"/>
        <v>-2.1396619934290064</v>
      </c>
      <c r="O120" s="59">
        <v>25</v>
      </c>
      <c r="P120" s="598" t="s">
        <v>511</v>
      </c>
      <c r="Q120" s="122">
        <f>VLOOKUP(P120,References!$B$7:$F$252,5,FALSE)</f>
        <v>36</v>
      </c>
    </row>
    <row r="121" spans="1:17" x14ac:dyDescent="0.2">
      <c r="A121" s="868" t="s">
        <v>170</v>
      </c>
      <c r="B121" s="869" t="s">
        <v>171</v>
      </c>
      <c r="C121" s="832">
        <v>350.1</v>
      </c>
      <c r="D121" s="832" t="s">
        <v>172</v>
      </c>
      <c r="E121" s="145" t="s">
        <v>171</v>
      </c>
      <c r="F121" s="58" t="s">
        <v>172</v>
      </c>
      <c r="G121" s="58">
        <v>350.1</v>
      </c>
      <c r="H121" s="354">
        <v>2.3099999999999999E-5</v>
      </c>
      <c r="I121" s="58" t="s">
        <v>509</v>
      </c>
      <c r="J121" s="58" t="s">
        <v>513</v>
      </c>
      <c r="K121" s="433">
        <f t="shared" si="64"/>
        <v>8.0873100000000004</v>
      </c>
      <c r="L121" s="178">
        <f t="shared" si="43"/>
        <v>0.90780409065717693</v>
      </c>
      <c r="M121" s="433">
        <f t="shared" si="65"/>
        <v>2.3099999999999999E-5</v>
      </c>
      <c r="N121" s="178">
        <f t="shared" si="61"/>
        <v>-4.636388020107856</v>
      </c>
      <c r="O121" s="58" t="s">
        <v>33</v>
      </c>
      <c r="P121" s="600" t="s">
        <v>511</v>
      </c>
      <c r="Q121" s="100">
        <f>VLOOKUP(P121,References!$B$7:$F$252,5,FALSE)</f>
        <v>36</v>
      </c>
    </row>
    <row r="122" spans="1:17" x14ac:dyDescent="0.2">
      <c r="A122" s="868"/>
      <c r="B122" s="869"/>
      <c r="C122" s="832"/>
      <c r="D122" s="832"/>
      <c r="E122" s="145" t="s">
        <v>171</v>
      </c>
      <c r="F122" s="58" t="s">
        <v>172</v>
      </c>
      <c r="G122" s="58">
        <v>350.1</v>
      </c>
      <c r="H122" s="354">
        <v>2.7900000000000001E-4</v>
      </c>
      <c r="I122" s="58" t="s">
        <v>509</v>
      </c>
      <c r="J122" s="58" t="s">
        <v>512</v>
      </c>
      <c r="K122" s="433">
        <f t="shared" si="64"/>
        <v>97.677900000000008</v>
      </c>
      <c r="L122" s="178">
        <f t="shared" si="43"/>
        <v>1.9897963140386301</v>
      </c>
      <c r="M122" s="433">
        <f t="shared" si="65"/>
        <v>2.7900000000000001E-4</v>
      </c>
      <c r="N122" s="178">
        <f t="shared" si="61"/>
        <v>-3.5543957967264026</v>
      </c>
      <c r="O122" s="58" t="s">
        <v>33</v>
      </c>
      <c r="P122" s="600" t="s">
        <v>511</v>
      </c>
      <c r="Q122" s="100">
        <f>VLOOKUP(P122,References!$B$7:$F$252,5,FALSE)</f>
        <v>36</v>
      </c>
    </row>
    <row r="123" spans="1:17" x14ac:dyDescent="0.2">
      <c r="A123" s="868"/>
      <c r="B123" s="869"/>
      <c r="C123" s="832"/>
      <c r="D123" s="832"/>
      <c r="E123" s="145" t="s">
        <v>171</v>
      </c>
      <c r="F123" s="58" t="s">
        <v>172</v>
      </c>
      <c r="G123" s="58">
        <v>350.1</v>
      </c>
      <c r="H123" s="350">
        <v>0.75</v>
      </c>
      <c r="I123" s="58" t="s">
        <v>509</v>
      </c>
      <c r="J123" s="58" t="s">
        <v>514</v>
      </c>
      <c r="K123" s="433">
        <f t="shared" si="64"/>
        <v>262575.00000000006</v>
      </c>
      <c r="L123" s="178">
        <f t="shared" si="43"/>
        <v>5.4192533741567326</v>
      </c>
      <c r="M123" s="433">
        <f t="shared" si="65"/>
        <v>0.75</v>
      </c>
      <c r="N123" s="178">
        <f t="shared" si="61"/>
        <v>-0.12493873660829995</v>
      </c>
      <c r="O123" s="58" t="s">
        <v>33</v>
      </c>
      <c r="P123" s="600" t="s">
        <v>511</v>
      </c>
      <c r="Q123" s="100">
        <f>VLOOKUP(P123,References!$B$7:$F$252,5,FALSE)</f>
        <v>36</v>
      </c>
    </row>
    <row r="124" spans="1:17" x14ac:dyDescent="0.2">
      <c r="A124" s="868"/>
      <c r="B124" s="869"/>
      <c r="C124" s="832"/>
      <c r="D124" s="834"/>
      <c r="E124" s="239" t="s">
        <v>171</v>
      </c>
      <c r="F124" s="59" t="s">
        <v>172</v>
      </c>
      <c r="G124" s="59">
        <v>350.1</v>
      </c>
      <c r="H124" s="325">
        <v>2.3500000000000001E-3</v>
      </c>
      <c r="I124" s="59" t="s">
        <v>509</v>
      </c>
      <c r="J124" s="59" t="s">
        <v>515</v>
      </c>
      <c r="K124" s="469">
        <f t="shared" si="64"/>
        <v>822.73500000000013</v>
      </c>
      <c r="L124" s="183">
        <f t="shared" si="43"/>
        <v>2.9152599730367688</v>
      </c>
      <c r="M124" s="469">
        <f t="shared" si="65"/>
        <v>2.3500000000000001E-3</v>
      </c>
      <c r="N124" s="183">
        <f t="shared" si="61"/>
        <v>-2.6289321377282637</v>
      </c>
      <c r="O124" s="59">
        <v>25</v>
      </c>
      <c r="P124" s="598" t="s">
        <v>511</v>
      </c>
      <c r="Q124" s="122">
        <f>VLOOKUP(P124,References!$B$7:$F$252,5,FALSE)</f>
        <v>36</v>
      </c>
    </row>
    <row r="125" spans="1:17" x14ac:dyDescent="0.2">
      <c r="A125" s="867" t="s">
        <v>176</v>
      </c>
      <c r="B125" s="850" t="s">
        <v>177</v>
      </c>
      <c r="C125" s="833">
        <v>400.1</v>
      </c>
      <c r="D125" s="833" t="s">
        <v>178</v>
      </c>
      <c r="E125" s="151" t="s">
        <v>177</v>
      </c>
      <c r="F125" s="57" t="s">
        <v>178</v>
      </c>
      <c r="G125" s="57">
        <v>400.1</v>
      </c>
      <c r="H125" s="58">
        <v>0.88</v>
      </c>
      <c r="I125" s="58" t="s">
        <v>518</v>
      </c>
      <c r="J125" s="58" t="s">
        <v>519</v>
      </c>
      <c r="K125" s="433">
        <f>IF(I125="mg/L",H125,IF(I125="log-mg/L",10^H125,IF(I125="g/L",H125*1000,IF(I125="ug/L",H125/1000,IF(I125="ng/mL",H125/1000,IF(I125="mol/L",H125*G127*1000,IF(I125="log-mol/L",(10^(H125))*G127*1000)))))))</f>
        <v>7.5857757502918375</v>
      </c>
      <c r="L125" s="178">
        <f t="shared" si="43"/>
        <v>0.88</v>
      </c>
      <c r="M125" s="433">
        <f>IF(I125="mol/L",H125,(K125/1000)/G127)</f>
        <v>1.8959699450866877E-5</v>
      </c>
      <c r="N125" s="178">
        <f t="shared" si="61"/>
        <v>-4.7221685513789975</v>
      </c>
      <c r="O125" s="58">
        <v>25</v>
      </c>
      <c r="P125" s="600" t="s">
        <v>520</v>
      </c>
      <c r="Q125" s="100">
        <f>VLOOKUP(P125,References!$B$7:$F$252,5,FALSE)</f>
        <v>14</v>
      </c>
    </row>
    <row r="126" spans="1:17" x14ac:dyDescent="0.2">
      <c r="A126" s="868"/>
      <c r="B126" s="869"/>
      <c r="C126" s="832"/>
      <c r="D126" s="832"/>
      <c r="E126" s="145" t="s">
        <v>177</v>
      </c>
      <c r="F126" s="58" t="s">
        <v>178</v>
      </c>
      <c r="G126" s="58">
        <v>400.1</v>
      </c>
      <c r="H126" s="58">
        <v>-2.2400000000000002</v>
      </c>
      <c r="I126" s="58" t="s">
        <v>521</v>
      </c>
      <c r="J126" s="58" t="s">
        <v>522</v>
      </c>
      <c r="K126" s="433">
        <f>IF(I126="mg/L",H126,IF(I126="log-mg/L",10^H126,IF(I126="g/L",H126*1000,IF(I126="ug/L",H126/1000,IF(I126="ng/mL",H126/1000,IF(I126="mol/L",H126*G128*1000,IF(I126="log-mol/L",(10^(H126))*G128*1000)))))))</f>
        <v>2302.3351892859632</v>
      </c>
      <c r="L126" s="178">
        <f t="shared" si="43"/>
        <v>3.3621685513789967</v>
      </c>
      <c r="M126" s="433">
        <f>IF(I126="mol/L",H126,(K126/1000)/G128)</f>
        <v>5.7543993733715649E-3</v>
      </c>
      <c r="N126" s="178">
        <f t="shared" si="61"/>
        <v>-2.2400000000000002</v>
      </c>
      <c r="O126" s="58" t="s">
        <v>33</v>
      </c>
      <c r="P126" s="600" t="s">
        <v>523</v>
      </c>
      <c r="Q126" s="100">
        <f>VLOOKUP(P126,References!$B$7:$F$252,5,FALSE)</f>
        <v>127</v>
      </c>
    </row>
    <row r="127" spans="1:17" x14ac:dyDescent="0.2">
      <c r="A127" s="868"/>
      <c r="B127" s="869"/>
      <c r="C127" s="832"/>
      <c r="D127" s="832"/>
      <c r="E127" s="145" t="s">
        <v>177</v>
      </c>
      <c r="F127" s="58" t="s">
        <v>178</v>
      </c>
      <c r="G127" s="58">
        <v>400.1</v>
      </c>
      <c r="H127" s="58">
        <v>0.24340000000000001</v>
      </c>
      <c r="I127" s="58" t="s">
        <v>527</v>
      </c>
      <c r="J127" s="58" t="s">
        <v>513</v>
      </c>
      <c r="K127" s="433">
        <f>IF(I127="mg/L",H127,IF(I127="log-mg/L",10^H127,IF(I127="g/L",H127*1000,IF(I127="ug/L",H127/1000,IF(I127="ng/mL",H127/1000,IF(I127="mol/L",H127*G129*1000,IF(I127="log-mol/L",(10^(H127))*G129*1000)))))))</f>
        <v>243.4</v>
      </c>
      <c r="L127" s="178">
        <f t="shared" si="43"/>
        <v>2.3863205738940461</v>
      </c>
      <c r="M127" s="433">
        <f>IF(I127="mol/L",H127,(K127/1000)/G129)</f>
        <v>6.0834791302174455E-4</v>
      </c>
      <c r="N127" s="178">
        <f t="shared" si="61"/>
        <v>-3.2158479774849509</v>
      </c>
      <c r="O127" s="58" t="s">
        <v>33</v>
      </c>
      <c r="P127" s="600" t="s">
        <v>384</v>
      </c>
      <c r="Q127" s="100">
        <f>VLOOKUP(P127,References!$B$7:$F$252,5,FALSE)</f>
        <v>123</v>
      </c>
    </row>
    <row r="128" spans="1:17" x14ac:dyDescent="0.2">
      <c r="A128" s="868"/>
      <c r="B128" s="869"/>
      <c r="C128" s="832"/>
      <c r="D128" s="832"/>
      <c r="E128" s="145" t="s">
        <v>177</v>
      </c>
      <c r="F128" s="58" t="s">
        <v>178</v>
      </c>
      <c r="G128" s="58">
        <v>400.1</v>
      </c>
      <c r="H128" s="58">
        <v>-3.23</v>
      </c>
      <c r="I128" s="58" t="s">
        <v>521</v>
      </c>
      <c r="J128" s="58" t="s">
        <v>524</v>
      </c>
      <c r="K128" s="433">
        <f>IF(I128="mg/L",H128,IF(I128="log-mg/L",10^H128,IF(I128="g/L",H128*1000,IF(I128="ug/L",H128/1000,IF(I128="ng/mL",H128/1000,IF(I128="mol/L",H128*G126*1000,IF(I128="log-mol/L",(10^(H128))*G126*1000)))))))</f>
        <v>235.5963465077711</v>
      </c>
      <c r="L128" s="178">
        <f t="shared" ref="L128" si="66">IF(I128="log-mg/L",H128,LOG(K128))</f>
        <v>2.372168551378997</v>
      </c>
      <c r="M128" s="433">
        <f>IF(I128="mol/L",H128,(K128/1000)/G126)</f>
        <v>5.8884365535558883E-4</v>
      </c>
      <c r="N128" s="178">
        <f t="shared" ref="N128" si="67">IF(I128="log-mol/L",H128,LOG(M128))</f>
        <v>-3.23</v>
      </c>
      <c r="O128" s="58">
        <v>25</v>
      </c>
      <c r="P128" s="600" t="s">
        <v>525</v>
      </c>
      <c r="Q128" s="100">
        <f>VLOOKUP(P128,References!$B$7:$F$252,5,FALSE)</f>
        <v>61</v>
      </c>
    </row>
    <row r="129" spans="1:17" x14ac:dyDescent="0.2">
      <c r="A129" s="868"/>
      <c r="B129" s="869"/>
      <c r="C129" s="832"/>
      <c r="D129" s="832"/>
      <c r="E129" s="145" t="s">
        <v>177</v>
      </c>
      <c r="F129" s="58" t="s">
        <v>178</v>
      </c>
      <c r="G129" s="58">
        <v>400.1</v>
      </c>
      <c r="H129" s="58">
        <v>6.2</v>
      </c>
      <c r="I129" s="58" t="s">
        <v>507</v>
      </c>
      <c r="J129" s="58" t="s">
        <v>513</v>
      </c>
      <c r="K129" s="433">
        <f>IF(I129="mg/L",H129,IF(I129="log-mg/L",10^H129,IF(I129="g/L",H129*1000,IF(I129="ug/L",H129/1000,IF(I129="ng/mL",H129/1000,IF(I129="mol/L",H129*G125*1000,IF(I129="log-mol/L",(10^(H129))*G125*1000)))))))</f>
        <v>6.2</v>
      </c>
      <c r="L129" s="178">
        <f>IF(I129="log-mg/L",H129,LOG(K129))</f>
        <v>0.79239168949825389</v>
      </c>
      <c r="M129" s="433">
        <f>IF(I129="mol/L",H129,(K129/1000)/G125)</f>
        <v>1.5496125968507871E-5</v>
      </c>
      <c r="N129" s="178">
        <f>IF(I129="log-mol/L",H129,LOG(M129))</f>
        <v>-4.809776861880743</v>
      </c>
      <c r="O129" s="58">
        <v>25</v>
      </c>
      <c r="P129" s="600" t="s">
        <v>101</v>
      </c>
      <c r="Q129" s="100">
        <f>VLOOKUP(P129,References!$B$7:$F$252,5,FALSE)</f>
        <v>99</v>
      </c>
    </row>
    <row r="130" spans="1:17" x14ac:dyDescent="0.2">
      <c r="A130" s="868"/>
      <c r="B130" s="869"/>
      <c r="C130" s="832"/>
      <c r="D130" s="832"/>
      <c r="E130" s="145" t="s">
        <v>177</v>
      </c>
      <c r="F130" s="58" t="s">
        <v>178</v>
      </c>
      <c r="G130" s="58">
        <v>400.1</v>
      </c>
      <c r="H130" s="354">
        <v>6.0800000000000003E-4</v>
      </c>
      <c r="I130" s="58" t="s">
        <v>509</v>
      </c>
      <c r="J130" s="58" t="s">
        <v>27</v>
      </c>
      <c r="K130" s="433">
        <f t="shared" ref="K130:K138" si="68">IF(I130="mg/L",H130,IF(I130="log-mg/L",10^H130,IF(I130="g/L",H130*1000,IF(I130="ug/L",H130/1000,IF(I130="ng/mL",H130/1000,IF(I130="mol/L",H130*G130*1000,IF(I130="log-mol/L",(10^(H130))*G130*1000)))))))</f>
        <v>243.26080000000002</v>
      </c>
      <c r="L130" s="178">
        <f t="shared" si="43"/>
        <v>2.3860721306517321</v>
      </c>
      <c r="M130" s="433">
        <f t="shared" ref="M130:M138" si="69">IF(I130="mol/L",H130,(K130/1000)/G130)</f>
        <v>6.0800000000000003E-4</v>
      </c>
      <c r="N130" s="178">
        <f t="shared" si="61"/>
        <v>-3.2160964207272649</v>
      </c>
      <c r="O130" s="58" t="s">
        <v>33</v>
      </c>
      <c r="P130" s="600" t="s">
        <v>511</v>
      </c>
      <c r="Q130" s="100">
        <f>VLOOKUP(P130,References!$B$7:$F$252,5,FALSE)</f>
        <v>36</v>
      </c>
    </row>
    <row r="131" spans="1:17" x14ac:dyDescent="0.2">
      <c r="A131" s="868"/>
      <c r="B131" s="869"/>
      <c r="C131" s="832"/>
      <c r="D131" s="832"/>
      <c r="E131" s="145" t="s">
        <v>177</v>
      </c>
      <c r="F131" s="58" t="s">
        <v>178</v>
      </c>
      <c r="G131" s="58">
        <v>400.1</v>
      </c>
      <c r="H131" s="354">
        <v>1.4899999999999999E-6</v>
      </c>
      <c r="I131" s="58" t="s">
        <v>509</v>
      </c>
      <c r="J131" s="58" t="s">
        <v>513</v>
      </c>
      <c r="K131" s="433">
        <f t="shared" si="68"/>
        <v>0.59614900000000004</v>
      </c>
      <c r="L131" s="178">
        <f t="shared" si="43"/>
        <v>-0.22464518020872876</v>
      </c>
      <c r="M131" s="433">
        <f t="shared" si="69"/>
        <v>1.4899999999999999E-6</v>
      </c>
      <c r="N131" s="178">
        <f t="shared" si="61"/>
        <v>-5.826813731587726</v>
      </c>
      <c r="O131" s="58" t="s">
        <v>33</v>
      </c>
      <c r="P131" s="600" t="s">
        <v>511</v>
      </c>
      <c r="Q131" s="100">
        <f>VLOOKUP(P131,References!$B$7:$F$252,5,FALSE)</f>
        <v>36</v>
      </c>
    </row>
    <row r="132" spans="1:17" x14ac:dyDescent="0.2">
      <c r="A132" s="868"/>
      <c r="B132" s="869"/>
      <c r="C132" s="832"/>
      <c r="D132" s="832"/>
      <c r="E132" s="145" t="s">
        <v>177</v>
      </c>
      <c r="F132" s="58" t="s">
        <v>178</v>
      </c>
      <c r="G132" s="58">
        <v>400.1</v>
      </c>
      <c r="H132" s="354">
        <v>2.9099999999999999E-5</v>
      </c>
      <c r="I132" s="58" t="s">
        <v>509</v>
      </c>
      <c r="J132" s="58" t="s">
        <v>512</v>
      </c>
      <c r="K132" s="433">
        <f t="shared" si="68"/>
        <v>11.642910000000001</v>
      </c>
      <c r="L132" s="178">
        <f t="shared" si="43"/>
        <v>1.0660615403649045</v>
      </c>
      <c r="M132" s="433">
        <f t="shared" si="69"/>
        <v>2.9099999999999999E-5</v>
      </c>
      <c r="N132" s="178">
        <f t="shared" si="61"/>
        <v>-4.5361070110140931</v>
      </c>
      <c r="O132" s="58" t="s">
        <v>33</v>
      </c>
      <c r="P132" s="600" t="s">
        <v>511</v>
      </c>
      <c r="Q132" s="100">
        <f>VLOOKUP(P132,References!$B$7:$F$252,5,FALSE)</f>
        <v>36</v>
      </c>
    </row>
    <row r="133" spans="1:17" x14ac:dyDescent="0.2">
      <c r="A133" s="868"/>
      <c r="B133" s="869"/>
      <c r="C133" s="832"/>
      <c r="D133" s="832"/>
      <c r="E133" s="145" t="s">
        <v>177</v>
      </c>
      <c r="F133" s="58" t="s">
        <v>178</v>
      </c>
      <c r="G133" s="58">
        <v>400.1</v>
      </c>
      <c r="H133" s="58">
        <v>0.14000000000000001</v>
      </c>
      <c r="I133" s="58" t="s">
        <v>509</v>
      </c>
      <c r="J133" s="58" t="s">
        <v>514</v>
      </c>
      <c r="K133" s="433">
        <f t="shared" si="68"/>
        <v>56014.000000000007</v>
      </c>
      <c r="L133" s="178">
        <f t="shared" si="43"/>
        <v>4.7482965870572356</v>
      </c>
      <c r="M133" s="433">
        <f t="shared" si="69"/>
        <v>0.14000000000000001</v>
      </c>
      <c r="N133" s="178">
        <f t="shared" si="61"/>
        <v>-0.85387196432176193</v>
      </c>
      <c r="O133" s="58" t="s">
        <v>33</v>
      </c>
      <c r="P133" s="600" t="s">
        <v>511</v>
      </c>
      <c r="Q133" s="100">
        <f>VLOOKUP(P133,References!$B$7:$F$252,5,FALSE)</f>
        <v>36</v>
      </c>
    </row>
    <row r="134" spans="1:17" x14ac:dyDescent="0.2">
      <c r="A134" s="879"/>
      <c r="B134" s="851"/>
      <c r="C134" s="834"/>
      <c r="D134" s="834"/>
      <c r="E134" s="239" t="s">
        <v>177</v>
      </c>
      <c r="F134" s="59" t="s">
        <v>178</v>
      </c>
      <c r="G134" s="59">
        <v>400.1</v>
      </c>
      <c r="H134" s="327">
        <v>6.0999999999999997E-4</v>
      </c>
      <c r="I134" s="59" t="s">
        <v>509</v>
      </c>
      <c r="J134" s="59" t="s">
        <v>515</v>
      </c>
      <c r="K134" s="469">
        <f t="shared" si="68"/>
        <v>244.06100000000001</v>
      </c>
      <c r="L134" s="183">
        <f t="shared" si="43"/>
        <v>2.3874983863897641</v>
      </c>
      <c r="M134" s="469">
        <f t="shared" si="69"/>
        <v>6.0999999999999997E-4</v>
      </c>
      <c r="N134" s="183">
        <f t="shared" si="61"/>
        <v>-3.2146701649892329</v>
      </c>
      <c r="O134" s="59">
        <v>25</v>
      </c>
      <c r="P134" s="598" t="s">
        <v>511</v>
      </c>
      <c r="Q134" s="122">
        <f>VLOOKUP(P134,References!$B$7:$F$252,5,FALSE)</f>
        <v>36</v>
      </c>
    </row>
    <row r="135" spans="1:17" x14ac:dyDescent="0.2">
      <c r="A135" s="868" t="s">
        <v>182</v>
      </c>
      <c r="B135" s="869" t="s">
        <v>183</v>
      </c>
      <c r="C135" s="832">
        <v>450.1</v>
      </c>
      <c r="D135" s="832" t="s">
        <v>184</v>
      </c>
      <c r="E135" s="145" t="s">
        <v>183</v>
      </c>
      <c r="F135" s="58" t="s">
        <v>184</v>
      </c>
      <c r="G135" s="58">
        <v>450.1</v>
      </c>
      <c r="H135" s="354">
        <v>9.6600000000000005E-8</v>
      </c>
      <c r="I135" s="58" t="s">
        <v>509</v>
      </c>
      <c r="J135" s="58" t="s">
        <v>513</v>
      </c>
      <c r="K135" s="433">
        <f t="shared" si="68"/>
        <v>4.347966000000001E-2</v>
      </c>
      <c r="L135" s="178">
        <f t="shared" si="43"/>
        <v>-1.3617138606460277</v>
      </c>
      <c r="M135" s="433">
        <f t="shared" si="69"/>
        <v>9.6600000000000005E-8</v>
      </c>
      <c r="N135" s="178">
        <f t="shared" si="61"/>
        <v>-7.015022873584507</v>
      </c>
      <c r="O135" s="58" t="s">
        <v>33</v>
      </c>
      <c r="P135" s="600" t="s">
        <v>511</v>
      </c>
      <c r="Q135" s="100">
        <f>VLOOKUP(P135,References!$B$7:$F$252,5,FALSE)</f>
        <v>36</v>
      </c>
    </row>
    <row r="136" spans="1:17" x14ac:dyDescent="0.2">
      <c r="A136" s="868"/>
      <c r="B136" s="869"/>
      <c r="C136" s="832"/>
      <c r="D136" s="832"/>
      <c r="E136" s="145" t="s">
        <v>183</v>
      </c>
      <c r="F136" s="58" t="s">
        <v>184</v>
      </c>
      <c r="G136" s="58">
        <v>450.1</v>
      </c>
      <c r="H136" s="354">
        <v>1.17E-5</v>
      </c>
      <c r="I136" s="58" t="s">
        <v>509</v>
      </c>
      <c r="J136" s="58" t="s">
        <v>512</v>
      </c>
      <c r="K136" s="433">
        <f t="shared" si="68"/>
        <v>5.2661700000000007</v>
      </c>
      <c r="L136" s="178">
        <f t="shared" si="43"/>
        <v>0.72149487468464057</v>
      </c>
      <c r="M136" s="433">
        <f t="shared" si="69"/>
        <v>1.17E-5</v>
      </c>
      <c r="N136" s="178">
        <f t="shared" si="61"/>
        <v>-4.9318141382538387</v>
      </c>
      <c r="O136" s="58" t="s">
        <v>33</v>
      </c>
      <c r="P136" s="600" t="s">
        <v>511</v>
      </c>
      <c r="Q136" s="100">
        <f>VLOOKUP(P136,References!$B$7:$F$252,5,FALSE)</f>
        <v>36</v>
      </c>
    </row>
    <row r="137" spans="1:17" x14ac:dyDescent="0.2">
      <c r="A137" s="868"/>
      <c r="B137" s="869"/>
      <c r="C137" s="832"/>
      <c r="D137" s="832"/>
      <c r="E137" s="145" t="s">
        <v>183</v>
      </c>
      <c r="F137" s="58" t="s">
        <v>184</v>
      </c>
      <c r="G137" s="58">
        <v>450.1</v>
      </c>
      <c r="H137" s="58">
        <v>2.7E-2</v>
      </c>
      <c r="I137" s="58" t="s">
        <v>509</v>
      </c>
      <c r="J137" s="58" t="s">
        <v>514</v>
      </c>
      <c r="K137" s="433">
        <f t="shared" si="68"/>
        <v>12152.7</v>
      </c>
      <c r="L137" s="178">
        <f t="shared" si="43"/>
        <v>4.0846727770974667</v>
      </c>
      <c r="M137" s="433">
        <f t="shared" si="69"/>
        <v>2.7E-2</v>
      </c>
      <c r="N137" s="178">
        <f t="shared" si="61"/>
        <v>-1.5686362358410126</v>
      </c>
      <c r="O137" s="58" t="s">
        <v>33</v>
      </c>
      <c r="P137" s="600" t="s">
        <v>511</v>
      </c>
      <c r="Q137" s="100">
        <f>VLOOKUP(P137,References!$B$7:$F$252,5,FALSE)</f>
        <v>36</v>
      </c>
    </row>
    <row r="138" spans="1:17" x14ac:dyDescent="0.2">
      <c r="A138" s="868"/>
      <c r="B138" s="869"/>
      <c r="C138" s="832"/>
      <c r="D138" s="834"/>
      <c r="E138" s="239" t="s">
        <v>183</v>
      </c>
      <c r="F138" s="59" t="s">
        <v>184</v>
      </c>
      <c r="G138" s="59">
        <v>450.1</v>
      </c>
      <c r="H138" s="327">
        <v>1.0300000000000001E-3</v>
      </c>
      <c r="I138" s="59" t="s">
        <v>509</v>
      </c>
      <c r="J138" s="59" t="s">
        <v>515</v>
      </c>
      <c r="K138" s="469">
        <f t="shared" si="68"/>
        <v>463.60300000000007</v>
      </c>
      <c r="L138" s="183">
        <f t="shared" si="43"/>
        <v>2.6661462376436513</v>
      </c>
      <c r="M138" s="469">
        <f t="shared" si="69"/>
        <v>1.0300000000000001E-3</v>
      </c>
      <c r="N138" s="183">
        <f t="shared" si="61"/>
        <v>-2.9871627752948275</v>
      </c>
      <c r="O138" s="59">
        <v>25</v>
      </c>
      <c r="P138" s="598" t="s">
        <v>511</v>
      </c>
      <c r="Q138" s="122">
        <f>VLOOKUP(P138,References!$B$7:$F$252,5,FALSE)</f>
        <v>36</v>
      </c>
    </row>
    <row r="139" spans="1:17" x14ac:dyDescent="0.2">
      <c r="A139" s="867" t="s">
        <v>188</v>
      </c>
      <c r="B139" s="850" t="s">
        <v>189</v>
      </c>
      <c r="C139" s="833">
        <v>500.1</v>
      </c>
      <c r="D139" s="833" t="s">
        <v>190</v>
      </c>
      <c r="E139" s="151" t="s">
        <v>189</v>
      </c>
      <c r="F139" s="57" t="s">
        <v>190</v>
      </c>
      <c r="G139" s="57">
        <v>500.1</v>
      </c>
      <c r="H139" s="58">
        <v>-0.68</v>
      </c>
      <c r="I139" s="58" t="s">
        <v>518</v>
      </c>
      <c r="J139" s="58" t="s">
        <v>519</v>
      </c>
      <c r="K139" s="433">
        <f>IF(I139="mg/L",H139,IF(I139="log-mg/L",10^H139,IF(I139="g/L",H139*1000,IF(I139="ug/L",H139/1000,IF(I139="ng/mL",H139/1000,IF(I139="mol/L",H139*G141*1000,IF(I139="log-mol/L",(10^(H139))*G141*1000)))))))</f>
        <v>0.20892961308540392</v>
      </c>
      <c r="L139" s="178">
        <f>IF(I139="log-mg/L",H139,LOG(K139))</f>
        <v>-0.68</v>
      </c>
      <c r="M139" s="433">
        <f>IF(I139="mol/L",H139,(K139/1000)/G141)</f>
        <v>4.177756710366005E-7</v>
      </c>
      <c r="N139" s="178">
        <f>IF(I139="log-mol/L",H139,LOG(M139))</f>
        <v>-6.3790568545476676</v>
      </c>
      <c r="O139" s="58">
        <v>25</v>
      </c>
      <c r="P139" s="600" t="s">
        <v>520</v>
      </c>
      <c r="Q139" s="100">
        <f>VLOOKUP(P139,References!$B$7:$F$252,5,FALSE)</f>
        <v>14</v>
      </c>
    </row>
    <row r="140" spans="1:17" x14ac:dyDescent="0.2">
      <c r="A140" s="868"/>
      <c r="B140" s="869"/>
      <c r="C140" s="832"/>
      <c r="D140" s="832"/>
      <c r="E140" s="145" t="s">
        <v>189</v>
      </c>
      <c r="F140" s="58" t="s">
        <v>190</v>
      </c>
      <c r="G140" s="58">
        <v>500.1</v>
      </c>
      <c r="H140" s="58">
        <v>-3.92</v>
      </c>
      <c r="I140" s="58" t="s">
        <v>521</v>
      </c>
      <c r="J140" s="58" t="s">
        <v>522</v>
      </c>
      <c r="K140" s="433">
        <f>IF(I140="mg/L",H140,IF(I140="log-mg/L",10^H140,IF(I140="g/L",H140*1000,IF(I140="ug/L",H140/1000,IF(I140="ng/mL",H140/1000,IF(I140="mol/L",H140*G142*1000,IF(I140="log-mol/L",(10^(H140))*G142*1000)))))))</f>
        <v>60.125244375216823</v>
      </c>
      <c r="L140" s="178">
        <f>IF(I140="log-mg/L",H140,LOG(K140))</f>
        <v>1.7790568545476677</v>
      </c>
      <c r="M140" s="433">
        <f>IF(I140="mol/L",H140,(K140/1000)/G142)</f>
        <v>1.202264434617413E-4</v>
      </c>
      <c r="N140" s="178">
        <f>IF(I140="log-mol/L",H140,LOG(M140))</f>
        <v>-3.92</v>
      </c>
      <c r="O140" s="58" t="s">
        <v>33</v>
      </c>
      <c r="P140" s="600" t="s">
        <v>523</v>
      </c>
      <c r="Q140" s="100">
        <f>VLOOKUP(P140,References!$B$7:$F$252,5,FALSE)</f>
        <v>127</v>
      </c>
    </row>
    <row r="141" spans="1:17" x14ac:dyDescent="0.2">
      <c r="A141" s="868"/>
      <c r="B141" s="869"/>
      <c r="C141" s="832"/>
      <c r="D141" s="832"/>
      <c r="E141" s="145" t="s">
        <v>189</v>
      </c>
      <c r="F141" s="58" t="s">
        <v>190</v>
      </c>
      <c r="G141" s="58">
        <v>500.1</v>
      </c>
      <c r="H141" s="58">
        <v>910</v>
      </c>
      <c r="I141" s="58" t="s">
        <v>507</v>
      </c>
      <c r="J141" s="58" t="s">
        <v>27</v>
      </c>
      <c r="K141" s="433">
        <f>IF(I141="mg/L",H141,IF(I141="log-mg/L",10^H141,IF(I141="g/L",H141*1000,IF(I141="ug/L",H141/1000,IF(I141="ng/mL",H141/1000,IF(I141="mol/L",H141*G139*1000,IF(I141="log-mol/L",(10^(H141))*G139*1000)))))))</f>
        <v>910</v>
      </c>
      <c r="L141" s="178">
        <f t="shared" si="43"/>
        <v>2.9590413923210934</v>
      </c>
      <c r="M141" s="433">
        <f>IF(I141="mol/L",H141,(K141/1000)/G139)</f>
        <v>1.8196360727854429E-3</v>
      </c>
      <c r="N141" s="178">
        <f t="shared" si="61"/>
        <v>-2.740015462226574</v>
      </c>
      <c r="O141" s="58">
        <v>25</v>
      </c>
      <c r="P141" s="600" t="s">
        <v>529</v>
      </c>
      <c r="Q141" s="100">
        <f>VLOOKUP(P141,References!$B$7:$F$252,5,FALSE)</f>
        <v>52</v>
      </c>
    </row>
    <row r="142" spans="1:17" x14ac:dyDescent="0.2">
      <c r="A142" s="868"/>
      <c r="B142" s="869"/>
      <c r="C142" s="832"/>
      <c r="D142" s="832"/>
      <c r="E142" s="145" t="s">
        <v>189</v>
      </c>
      <c r="F142" s="58" t="s">
        <v>190</v>
      </c>
      <c r="G142" s="58">
        <v>500.1</v>
      </c>
      <c r="H142" s="58">
        <v>-4.8099999999999996</v>
      </c>
      <c r="I142" s="58" t="s">
        <v>521</v>
      </c>
      <c r="J142" s="58" t="s">
        <v>524</v>
      </c>
      <c r="K142" s="433">
        <f>IF(I142="mg/L",H142,IF(I142="log-mg/L",10^H142,IF(I142="g/L",H142*1000,IF(I142="ug/L",H142/1000,IF(I142="ng/mL",H142/1000,IF(I142="mol/L",H142*G140*1000,IF(I142="log-mol/L",(10^(H142))*G140*1000)))))))</f>
        <v>7.7456319111813183</v>
      </c>
      <c r="L142" s="178">
        <f t="shared" ref="L142" si="70">IF(I142="log-mg/L",H142,LOG(K142))</f>
        <v>0.8890568545476677</v>
      </c>
      <c r="M142" s="433">
        <f>IF(I142="mol/L",H142,(K142/1000)/G140)</f>
        <v>1.5488166189124811E-5</v>
      </c>
      <c r="N142" s="178">
        <f t="shared" ref="N142" si="71">IF(I142="log-mol/L",H142,LOG(M142))</f>
        <v>-4.8099999999999996</v>
      </c>
      <c r="O142" s="58">
        <v>25</v>
      </c>
      <c r="P142" s="600" t="s">
        <v>525</v>
      </c>
      <c r="Q142" s="100">
        <f>VLOOKUP(P142,References!$B$7:$F$252,5,FALSE)</f>
        <v>61</v>
      </c>
    </row>
    <row r="143" spans="1:17" x14ac:dyDescent="0.2">
      <c r="A143" s="868"/>
      <c r="B143" s="869"/>
      <c r="C143" s="832"/>
      <c r="D143" s="832"/>
      <c r="E143" s="145" t="s">
        <v>189</v>
      </c>
      <c r="F143" s="58" t="s">
        <v>190</v>
      </c>
      <c r="G143" s="58">
        <v>500.1</v>
      </c>
      <c r="H143" s="58">
        <v>680</v>
      </c>
      <c r="I143" s="58" t="s">
        <v>507</v>
      </c>
      <c r="J143" s="58" t="s">
        <v>27</v>
      </c>
      <c r="K143" s="433">
        <f>IF(I143="mg/L",H143,IF(I143="log-mg/L",10^H143,IF(I143="g/L",H143*1000,IF(I143="ug/L",H143/1000,IF(I143="ng/mL",H143/1000,IF(I143="mol/L",H143*G141*1000,IF(I143="log-mol/L",(10^(H143))*G141*1000)))))))</f>
        <v>680</v>
      </c>
      <c r="L143" s="178">
        <f t="shared" ref="L143" si="72">IF(I143="log-mg/L",H143,LOG(K143))</f>
        <v>2.8325089127062362</v>
      </c>
      <c r="M143" s="433">
        <f>IF(I143="mol/L",H143,(K143/1000)/G141)</f>
        <v>1.3597280543891223E-3</v>
      </c>
      <c r="N143" s="178">
        <f t="shared" ref="N143" si="73">IF(I143="log-mol/L",H143,LOG(M143))</f>
        <v>-2.8665479418414312</v>
      </c>
      <c r="O143" s="58" t="s">
        <v>532</v>
      </c>
      <c r="P143" s="737" t="s">
        <v>47</v>
      </c>
      <c r="Q143" s="100">
        <f>VLOOKUP(P143,References!$B$7:$F$252,5,FALSE)</f>
        <v>3</v>
      </c>
    </row>
    <row r="144" spans="1:17" x14ac:dyDescent="0.2">
      <c r="A144" s="868"/>
      <c r="B144" s="869"/>
      <c r="C144" s="832"/>
      <c r="D144" s="832"/>
      <c r="E144" s="145" t="s">
        <v>189</v>
      </c>
      <c r="F144" s="58" t="s">
        <v>190</v>
      </c>
      <c r="G144" s="58">
        <v>500.1</v>
      </c>
      <c r="H144" s="354">
        <v>1.14E-3</v>
      </c>
      <c r="I144" s="58" t="s">
        <v>509</v>
      </c>
      <c r="J144" s="58" t="s">
        <v>27</v>
      </c>
      <c r="K144" s="433">
        <f>IF(I144="mg/L",H144,IF(I144="log-mg/L",10^H144,IF(I144="g/L",H144*1000,IF(I144="ug/L",H144/1000,IF(I144="ng/mL",H144/1000,IF(I144="mol/L",H144*G141*1000,IF(I144="log-mol/L",(10^(H144))*G141*1000)))))))</f>
        <v>570.11400000000003</v>
      </c>
      <c r="L144" s="178">
        <f t="shared" ref="L144" si="74">IF(I144="log-mg/L",H144,LOG(K144))</f>
        <v>2.7559617058841406</v>
      </c>
      <c r="M144" s="433">
        <f>IF(I144="mol/L",H144,(K144/1000)/G141)</f>
        <v>1.14E-3</v>
      </c>
      <c r="N144" s="178">
        <f t="shared" ref="N144" si="75">IF(I144="log-mol/L",H144,LOG(M144))</f>
        <v>-2.9430951486635273</v>
      </c>
      <c r="O144" s="58" t="s">
        <v>33</v>
      </c>
      <c r="P144" s="600" t="s">
        <v>511</v>
      </c>
      <c r="Q144" s="100">
        <f>VLOOKUP(P144,References!$B$7:$F$252,5,FALSE)</f>
        <v>36</v>
      </c>
    </row>
    <row r="145" spans="1:26" x14ac:dyDescent="0.2">
      <c r="A145" s="868"/>
      <c r="B145" s="869"/>
      <c r="C145" s="832"/>
      <c r="D145" s="832"/>
      <c r="E145" s="145" t="s">
        <v>189</v>
      </c>
      <c r="F145" s="58" t="s">
        <v>190</v>
      </c>
      <c r="G145" s="58">
        <v>500.1</v>
      </c>
      <c r="H145" s="354">
        <v>6.2499999999999997E-9</v>
      </c>
      <c r="I145" s="58" t="s">
        <v>509</v>
      </c>
      <c r="J145" s="58" t="s">
        <v>513</v>
      </c>
      <c r="K145" s="433">
        <f t="shared" ref="K145:K156" si="76">IF(I145="mg/L",H145,IF(I145="log-mg/L",10^H145,IF(I145="g/L",H145*1000,IF(I145="ug/L",H145/1000,IF(I145="ng/mL",H145/1000,IF(I145="mol/L",H145*G145*1000,IF(I145="log-mol/L",(10^(H145))*G145*1000)))))))</f>
        <v>3.1256249999999999E-3</v>
      </c>
      <c r="L145" s="178">
        <f t="shared" si="43"/>
        <v>-2.5050631281082572</v>
      </c>
      <c r="M145" s="433">
        <f t="shared" ref="M145:M156" si="77">IF(I145="mol/L",H145,(K145/1000)/G145)</f>
        <v>6.2499999999999997E-9</v>
      </c>
      <c r="N145" s="178">
        <f t="shared" si="61"/>
        <v>-8.204119982655925</v>
      </c>
      <c r="O145" s="58" t="s">
        <v>33</v>
      </c>
      <c r="P145" s="600" t="s">
        <v>511</v>
      </c>
      <c r="Q145" s="100">
        <f>VLOOKUP(P145,References!$B$7:$F$252,5,FALSE)</f>
        <v>36</v>
      </c>
    </row>
    <row r="146" spans="1:26" x14ac:dyDescent="0.2">
      <c r="A146" s="868"/>
      <c r="B146" s="869"/>
      <c r="C146" s="832"/>
      <c r="D146" s="832"/>
      <c r="E146" s="145" t="s">
        <v>189</v>
      </c>
      <c r="F146" s="58" t="s">
        <v>190</v>
      </c>
      <c r="G146" s="58">
        <v>500.1</v>
      </c>
      <c r="H146" s="354">
        <v>4.7199999999999997E-6</v>
      </c>
      <c r="I146" s="58" t="s">
        <v>509</v>
      </c>
      <c r="J146" s="58" t="s">
        <v>512</v>
      </c>
      <c r="K146" s="433">
        <f t="shared" si="76"/>
        <v>2.3604719999999997</v>
      </c>
      <c r="L146" s="178">
        <f t="shared" si="43"/>
        <v>0.37299885318175546</v>
      </c>
      <c r="M146" s="433">
        <f t="shared" si="77"/>
        <v>4.7199999999999997E-6</v>
      </c>
      <c r="N146" s="178">
        <f t="shared" si="61"/>
        <v>-5.3260580013659125</v>
      </c>
      <c r="O146" s="58" t="s">
        <v>33</v>
      </c>
      <c r="P146" s="600" t="s">
        <v>511</v>
      </c>
      <c r="Q146" s="100">
        <f>VLOOKUP(P146,References!$B$7:$F$252,5,FALSE)</f>
        <v>36</v>
      </c>
    </row>
    <row r="147" spans="1:26" x14ac:dyDescent="0.2">
      <c r="A147" s="868"/>
      <c r="B147" s="869"/>
      <c r="C147" s="832"/>
      <c r="D147" s="832"/>
      <c r="E147" s="145" t="s">
        <v>189</v>
      </c>
      <c r="F147" s="58" t="s">
        <v>190</v>
      </c>
      <c r="G147" s="58">
        <v>500.1</v>
      </c>
      <c r="H147" s="354">
        <v>5.4000000000000003E-3</v>
      </c>
      <c r="I147" s="58" t="s">
        <v>509</v>
      </c>
      <c r="J147" s="58" t="s">
        <v>514</v>
      </c>
      <c r="K147" s="433">
        <f t="shared" si="76"/>
        <v>2700.54</v>
      </c>
      <c r="L147" s="178">
        <f t="shared" si="43"/>
        <v>3.4314506143706365</v>
      </c>
      <c r="M147" s="433">
        <f t="shared" si="77"/>
        <v>5.4000000000000003E-3</v>
      </c>
      <c r="N147" s="178">
        <f t="shared" si="61"/>
        <v>-2.2676062401770314</v>
      </c>
      <c r="O147" s="58" t="s">
        <v>33</v>
      </c>
      <c r="P147" s="600" t="s">
        <v>511</v>
      </c>
      <c r="Q147" s="100">
        <f>VLOOKUP(P147,References!$B$7:$F$252,5,FALSE)</f>
        <v>36</v>
      </c>
    </row>
    <row r="148" spans="1:26" x14ac:dyDescent="0.2">
      <c r="A148" s="879"/>
      <c r="B148" s="851"/>
      <c r="C148" s="834"/>
      <c r="D148" s="834"/>
      <c r="E148" s="239" t="s">
        <v>189</v>
      </c>
      <c r="F148" s="59" t="s">
        <v>190</v>
      </c>
      <c r="G148" s="59">
        <v>500.1</v>
      </c>
      <c r="H148" s="327">
        <v>8.1700000000000002E-4</v>
      </c>
      <c r="I148" s="59" t="s">
        <v>509</v>
      </c>
      <c r="J148" s="59" t="s">
        <v>515</v>
      </c>
      <c r="K148" s="469">
        <f t="shared" si="76"/>
        <v>408.58170000000007</v>
      </c>
      <c r="L148" s="183">
        <f t="shared" si="43"/>
        <v>2.6112789110800834</v>
      </c>
      <c r="M148" s="469">
        <f t="shared" si="77"/>
        <v>8.1700000000000002E-4</v>
      </c>
      <c r="N148" s="183">
        <f t="shared" si="61"/>
        <v>-3.0877779434675845</v>
      </c>
      <c r="O148" s="59">
        <v>25</v>
      </c>
      <c r="P148" s="598" t="s">
        <v>511</v>
      </c>
      <c r="Q148" s="122">
        <f>VLOOKUP(P148,References!$B$7:$F$252,5,FALSE)</f>
        <v>36</v>
      </c>
    </row>
    <row r="149" spans="1:26" x14ac:dyDescent="0.2">
      <c r="A149" s="868" t="s">
        <v>195</v>
      </c>
      <c r="B149" s="869" t="s">
        <v>196</v>
      </c>
      <c r="C149" s="832">
        <v>550.1</v>
      </c>
      <c r="D149" s="832" t="s">
        <v>197</v>
      </c>
      <c r="E149" s="145" t="s">
        <v>196</v>
      </c>
      <c r="F149" s="58" t="s">
        <v>197</v>
      </c>
      <c r="G149" s="58">
        <v>550.1</v>
      </c>
      <c r="H149" s="354">
        <v>4.04E-10</v>
      </c>
      <c r="I149" s="58" t="s">
        <v>509</v>
      </c>
      <c r="J149" s="58" t="s">
        <v>513</v>
      </c>
      <c r="K149" s="433">
        <f t="shared" si="76"/>
        <v>2.2224040000000001E-4</v>
      </c>
      <c r="L149" s="178">
        <f t="shared" si="43"/>
        <v>-3.6531769899396291</v>
      </c>
      <c r="M149" s="433">
        <f t="shared" si="77"/>
        <v>4.04E-10</v>
      </c>
      <c r="N149" s="178">
        <f t="shared" si="61"/>
        <v>-9.3936186348893944</v>
      </c>
      <c r="O149" s="58" t="s">
        <v>33</v>
      </c>
      <c r="P149" s="600" t="s">
        <v>511</v>
      </c>
      <c r="Q149" s="100">
        <f>VLOOKUP(P149,References!$B$7:$F$252,5,FALSE)</f>
        <v>36</v>
      </c>
    </row>
    <row r="150" spans="1:26" x14ac:dyDescent="0.2">
      <c r="A150" s="868"/>
      <c r="B150" s="869"/>
      <c r="C150" s="832"/>
      <c r="D150" s="832"/>
      <c r="E150" s="145" t="s">
        <v>196</v>
      </c>
      <c r="F150" s="58" t="s">
        <v>197</v>
      </c>
      <c r="G150" s="58">
        <v>550.1</v>
      </c>
      <c r="H150" s="354">
        <v>1.1000000000000001E-3</v>
      </c>
      <c r="I150" s="58" t="s">
        <v>509</v>
      </c>
      <c r="J150" s="58" t="s">
        <v>514</v>
      </c>
      <c r="K150" s="433">
        <f t="shared" si="76"/>
        <v>605.11</v>
      </c>
      <c r="L150" s="178">
        <f t="shared" si="43"/>
        <v>2.7818343301079911</v>
      </c>
      <c r="M150" s="433">
        <f t="shared" si="77"/>
        <v>1.1000000000000001E-3</v>
      </c>
      <c r="N150" s="178">
        <f t="shared" si="61"/>
        <v>-2.9586073148417751</v>
      </c>
      <c r="O150" s="58" t="s">
        <v>33</v>
      </c>
      <c r="P150" s="600" t="s">
        <v>511</v>
      </c>
      <c r="Q150" s="100">
        <f>VLOOKUP(P150,References!$B$7:$F$252,5,FALSE)</f>
        <v>36</v>
      </c>
    </row>
    <row r="151" spans="1:26" x14ac:dyDescent="0.2">
      <c r="A151" s="868"/>
      <c r="B151" s="869"/>
      <c r="C151" s="832"/>
      <c r="D151" s="834"/>
      <c r="E151" s="239" t="s">
        <v>196</v>
      </c>
      <c r="F151" s="59" t="s">
        <v>197</v>
      </c>
      <c r="G151" s="59">
        <v>550.1</v>
      </c>
      <c r="H151" s="327">
        <v>6.9800000000000005E-4</v>
      </c>
      <c r="I151" s="59" t="s">
        <v>509</v>
      </c>
      <c r="J151" s="59" t="s">
        <v>515</v>
      </c>
      <c r="K151" s="469">
        <f t="shared" si="76"/>
        <v>383.96980000000002</v>
      </c>
      <c r="L151" s="183">
        <f t="shared" si="43"/>
        <v>2.5842970675729271</v>
      </c>
      <c r="M151" s="469">
        <f t="shared" si="77"/>
        <v>6.9800000000000005E-4</v>
      </c>
      <c r="N151" s="183">
        <f t="shared" si="61"/>
        <v>-3.1561445773768391</v>
      </c>
      <c r="O151" s="58">
        <v>25</v>
      </c>
      <c r="P151" s="600" t="s">
        <v>511</v>
      </c>
      <c r="Q151" s="100">
        <f>VLOOKUP(P151,References!$B$7:$F$252,5,FALSE)</f>
        <v>36</v>
      </c>
    </row>
    <row r="152" spans="1:26" x14ac:dyDescent="0.2">
      <c r="A152" s="867" t="s">
        <v>201</v>
      </c>
      <c r="B152" s="850" t="s">
        <v>202</v>
      </c>
      <c r="C152" s="833">
        <v>600.1</v>
      </c>
      <c r="D152" s="833" t="s">
        <v>203</v>
      </c>
      <c r="E152" s="151" t="s">
        <v>202</v>
      </c>
      <c r="F152" s="57" t="s">
        <v>203</v>
      </c>
      <c r="G152" s="57">
        <v>600.1</v>
      </c>
      <c r="H152" s="57">
        <v>-5.39</v>
      </c>
      <c r="I152" s="57" t="s">
        <v>521</v>
      </c>
      <c r="J152" s="57" t="s">
        <v>522</v>
      </c>
      <c r="K152" s="433">
        <f t="shared" si="76"/>
        <v>2.4446890471024805</v>
      </c>
      <c r="L152" s="181">
        <f t="shared" si="43"/>
        <v>0.38822362676609651</v>
      </c>
      <c r="M152" s="433">
        <f t="shared" si="77"/>
        <v>4.0738027780411272E-6</v>
      </c>
      <c r="N152" s="181">
        <f t="shared" si="61"/>
        <v>-5.39</v>
      </c>
      <c r="O152" s="57" t="s">
        <v>33</v>
      </c>
      <c r="P152" s="733" t="s">
        <v>523</v>
      </c>
      <c r="Q152" s="121">
        <f>VLOOKUP(P152,References!$B$7:$F$252,5,FALSE)</f>
        <v>127</v>
      </c>
    </row>
    <row r="153" spans="1:26" x14ac:dyDescent="0.2">
      <c r="A153" s="868"/>
      <c r="B153" s="869"/>
      <c r="C153" s="832"/>
      <c r="D153" s="832"/>
      <c r="E153" s="145" t="s">
        <v>202</v>
      </c>
      <c r="F153" s="58" t="s">
        <v>203</v>
      </c>
      <c r="G153" s="58">
        <v>600.1</v>
      </c>
      <c r="H153" s="354">
        <v>2.6099999999999999E-11</v>
      </c>
      <c r="I153" s="58" t="s">
        <v>509</v>
      </c>
      <c r="J153" s="58" t="s">
        <v>513</v>
      </c>
      <c r="K153" s="433">
        <f t="shared" si="76"/>
        <v>1.5662610000000002E-5</v>
      </c>
      <c r="L153" s="178">
        <f t="shared" si="43"/>
        <v>-4.8051358658956227</v>
      </c>
      <c r="M153" s="433">
        <f t="shared" si="77"/>
        <v>2.6099999999999999E-11</v>
      </c>
      <c r="N153" s="178">
        <f t="shared" si="61"/>
        <v>-10.583359492661719</v>
      </c>
      <c r="O153" s="58" t="s">
        <v>33</v>
      </c>
      <c r="P153" s="600" t="s">
        <v>511</v>
      </c>
      <c r="Q153" s="100">
        <f>VLOOKUP(P153,References!$B$7:$F$252,5,FALSE)</f>
        <v>36</v>
      </c>
    </row>
    <row r="154" spans="1:26" x14ac:dyDescent="0.2">
      <c r="A154" s="868"/>
      <c r="B154" s="869"/>
      <c r="C154" s="832"/>
      <c r="D154" s="832"/>
      <c r="E154" s="145" t="s">
        <v>202</v>
      </c>
      <c r="F154" s="58" t="s">
        <v>203</v>
      </c>
      <c r="G154" s="58">
        <v>600.1</v>
      </c>
      <c r="H154" s="354">
        <v>2.4000000000000001E-4</v>
      </c>
      <c r="I154" s="58" t="s">
        <v>509</v>
      </c>
      <c r="J154" s="58" t="s">
        <v>514</v>
      </c>
      <c r="K154" s="433">
        <f t="shared" si="76"/>
        <v>144.024</v>
      </c>
      <c r="L154" s="178">
        <f t="shared" si="43"/>
        <v>2.1584348684777024</v>
      </c>
      <c r="M154" s="433">
        <f t="shared" si="77"/>
        <v>2.4000000000000001E-4</v>
      </c>
      <c r="N154" s="178">
        <f t="shared" si="61"/>
        <v>-3.6197887582883941</v>
      </c>
      <c r="O154" s="58" t="s">
        <v>33</v>
      </c>
      <c r="P154" s="600" t="s">
        <v>511</v>
      </c>
      <c r="Q154" s="100">
        <f>VLOOKUP(P154,References!$B$7:$F$252,5,FALSE)</f>
        <v>36</v>
      </c>
    </row>
    <row r="155" spans="1:26" x14ac:dyDescent="0.2">
      <c r="A155" s="879"/>
      <c r="B155" s="851"/>
      <c r="C155" s="834"/>
      <c r="D155" s="834"/>
      <c r="E155" s="239" t="s">
        <v>202</v>
      </c>
      <c r="F155" s="59" t="s">
        <v>203</v>
      </c>
      <c r="G155" s="59">
        <v>600.1</v>
      </c>
      <c r="H155" s="327">
        <v>3.2299999999999999E-4</v>
      </c>
      <c r="I155" s="59" t="s">
        <v>509</v>
      </c>
      <c r="J155" s="59" t="s">
        <v>515</v>
      </c>
      <c r="K155" s="469">
        <f t="shared" si="76"/>
        <v>193.8323</v>
      </c>
      <c r="L155" s="183">
        <f t="shared" si="43"/>
        <v>2.2874261490971994</v>
      </c>
      <c r="M155" s="469">
        <f t="shared" si="77"/>
        <v>3.2299999999999999E-4</v>
      </c>
      <c r="N155" s="183">
        <f t="shared" si="61"/>
        <v>-3.490797477668897</v>
      </c>
      <c r="O155" s="59">
        <v>25</v>
      </c>
      <c r="P155" s="598" t="s">
        <v>511</v>
      </c>
      <c r="Q155" s="122">
        <f>VLOOKUP(P155,References!$B$7:$F$252,5,FALSE)</f>
        <v>36</v>
      </c>
    </row>
    <row r="156" spans="1:26" x14ac:dyDescent="0.2">
      <c r="A156" s="830" t="s">
        <v>207</v>
      </c>
      <c r="B156" s="832" t="s">
        <v>208</v>
      </c>
      <c r="C156" s="832">
        <v>700.2</v>
      </c>
      <c r="D156" s="832" t="s">
        <v>209</v>
      </c>
      <c r="E156" s="58" t="s">
        <v>208</v>
      </c>
      <c r="F156" s="58" t="s">
        <v>209</v>
      </c>
      <c r="G156" s="145">
        <v>700.2</v>
      </c>
      <c r="H156" s="354">
        <v>1.2E-5</v>
      </c>
      <c r="I156" s="58" t="s">
        <v>509</v>
      </c>
      <c r="J156" s="58" t="s">
        <v>514</v>
      </c>
      <c r="K156" s="433">
        <f t="shared" si="76"/>
        <v>8.4024000000000001</v>
      </c>
      <c r="L156" s="178">
        <f t="shared" si="43"/>
        <v>0.92440335247663863</v>
      </c>
      <c r="M156" s="433">
        <f t="shared" si="77"/>
        <v>1.2E-5</v>
      </c>
      <c r="N156" s="178">
        <f t="shared" si="61"/>
        <v>-4.9208187539523749</v>
      </c>
      <c r="O156" s="58" t="s">
        <v>33</v>
      </c>
      <c r="P156" s="600" t="s">
        <v>511</v>
      </c>
      <c r="Q156" s="100">
        <f>VLOOKUP(P156,References!$B$7:$F$252,5,FALSE)</f>
        <v>36</v>
      </c>
    </row>
    <row r="157" spans="1:26" s="2" customFormat="1" thickBot="1" x14ac:dyDescent="0.25">
      <c r="A157" s="844"/>
      <c r="B157" s="845"/>
      <c r="C157" s="845"/>
      <c r="D157" s="845"/>
      <c r="E157" s="138" t="s">
        <v>208</v>
      </c>
      <c r="F157" s="138" t="s">
        <v>209</v>
      </c>
      <c r="G157" s="146">
        <v>700.2</v>
      </c>
      <c r="H157" s="324">
        <v>3.3899999999999997E-5</v>
      </c>
      <c r="I157" s="138" t="s">
        <v>509</v>
      </c>
      <c r="J157" s="138" t="s">
        <v>515</v>
      </c>
      <c r="K157" s="604">
        <f t="shared" ref="K157" si="78">IF(I157="mg/L",H157,IF(I157="log-mg/L",10^H157,IF(I157="g/L",H157*1000,IF(I157="ug/L",H157/1000,IF(I157="ng/mL",H157/1000,IF(I157="mol/L",H157*G157*1000,IF(I157="log-mol/L",(10^(H157))*G157*1000)))))))</f>
        <v>23.73678</v>
      </c>
      <c r="L157" s="284">
        <f t="shared" ref="L157" si="79">IF(I157="log-mg/L",H157,LOG(K157))</f>
        <v>1.3754218046320961</v>
      </c>
      <c r="M157" s="604">
        <f t="shared" ref="M157" si="80">IF(I157="mol/L",H157,(K157/1000)/G157)</f>
        <v>3.3899999999999997E-5</v>
      </c>
      <c r="N157" s="284">
        <f t="shared" ref="N157" si="81">IF(I157="log-mol/L",H157,LOG(M157))</f>
        <v>-4.4698003017969175</v>
      </c>
      <c r="O157" s="138">
        <v>25</v>
      </c>
      <c r="P157" s="210" t="s">
        <v>511</v>
      </c>
      <c r="Q157" s="101">
        <f>VLOOKUP(P157,References!$B$7:$F$252,5,FALSE)</f>
        <v>36</v>
      </c>
      <c r="R157" s="3"/>
      <c r="S157" s="11"/>
      <c r="T157" s="11"/>
      <c r="U157" s="11"/>
      <c r="V157" s="11"/>
      <c r="W157" s="11"/>
      <c r="X157" s="11"/>
      <c r="Y157" s="11"/>
      <c r="Z157" s="11"/>
    </row>
    <row r="158" spans="1:26" ht="17" thickBot="1" x14ac:dyDescent="0.25">
      <c r="A158" s="78" t="s">
        <v>210</v>
      </c>
      <c r="B158" s="158" t="s">
        <v>211</v>
      </c>
      <c r="C158" s="82"/>
      <c r="D158" s="82"/>
      <c r="E158" s="79"/>
      <c r="F158" s="175"/>
      <c r="G158" s="175"/>
      <c r="H158" s="175"/>
      <c r="I158" s="175"/>
      <c r="J158" s="175"/>
      <c r="K158" s="594"/>
      <c r="L158" s="276"/>
      <c r="M158" s="594"/>
      <c r="N158" s="276"/>
      <c r="O158" s="175"/>
      <c r="P158" s="277"/>
      <c r="Q158" s="278"/>
    </row>
    <row r="159" spans="1:26" x14ac:dyDescent="0.2">
      <c r="A159" s="595" t="s">
        <v>212</v>
      </c>
      <c r="B159" s="296" t="s">
        <v>213</v>
      </c>
      <c r="C159" s="466">
        <v>178.1</v>
      </c>
      <c r="D159" s="296" t="s">
        <v>214</v>
      </c>
      <c r="E159" s="296" t="s">
        <v>213</v>
      </c>
      <c r="F159" s="296" t="s">
        <v>214</v>
      </c>
      <c r="G159" s="466">
        <v>178.1</v>
      </c>
      <c r="H159" s="422">
        <v>0.08</v>
      </c>
      <c r="I159" s="296" t="s">
        <v>521</v>
      </c>
      <c r="J159" s="422" t="s">
        <v>522</v>
      </c>
      <c r="K159" s="596">
        <f t="shared" ref="K159" si="82">IF(I159="mg/L",H159,IF(I159="log-mg/L",10^H159,IF(I159="g/L",H159*1000,IF(I159="ug/L",H159/1000,IF(I159="ng/mL",H159/1000,IF(I159="mol/L",H159*G159*1000,IF(I159="log-mol/L",(10^(H159))*G159*1000)))))))</f>
        <v>214123.29580536124</v>
      </c>
      <c r="L159" s="712">
        <f t="shared" ref="L159" si="83">IF(I159="log-mg/L",H159,LOG(K159))</f>
        <v>5.3306639194632437</v>
      </c>
      <c r="M159" s="596">
        <f t="shared" ref="M159" si="84">IF(I159="mol/L",H159,(K159/1000)/G159)</f>
        <v>1.2022644346174129</v>
      </c>
      <c r="N159" s="712">
        <f t="shared" ref="N159" si="85">IF(I159="log-mol/L",H159,LOG(M159))</f>
        <v>0.08</v>
      </c>
      <c r="O159" s="422" t="s">
        <v>33</v>
      </c>
      <c r="P159" s="740" t="s">
        <v>523</v>
      </c>
      <c r="Q159" s="173">
        <f>VLOOKUP(P159,References!$B$7:$F$252,5,FALSE)</f>
        <v>127</v>
      </c>
    </row>
    <row r="160" spans="1:26" x14ac:dyDescent="0.2">
      <c r="A160" s="830" t="s">
        <v>215</v>
      </c>
      <c r="B160" s="832" t="s">
        <v>216</v>
      </c>
      <c r="C160" s="832">
        <v>242.1</v>
      </c>
      <c r="D160" s="832" t="s">
        <v>217</v>
      </c>
      <c r="E160" s="58" t="s">
        <v>216</v>
      </c>
      <c r="F160" s="58" t="s">
        <v>217</v>
      </c>
      <c r="G160" s="145">
        <v>242.1</v>
      </c>
      <c r="H160" s="447">
        <v>3.4299999999999999E-4</v>
      </c>
      <c r="I160" s="58" t="s">
        <v>509</v>
      </c>
      <c r="J160" s="134" t="s">
        <v>512</v>
      </c>
      <c r="K160" s="433">
        <f t="shared" ref="K160:K163" si="86">IF(I160="mg/L",H160,IF(I160="log-mg/L",10^H160,IF(I160="g/L",H160*1000,IF(I160="ug/L",H160/1000,IF(I160="ng/mL",H160/1000,IF(I160="mol/L",H160*G160*1000,IF(I160="log-mol/L",(10^(H160))*G160*1000)))))))</f>
        <v>83.040300000000002</v>
      </c>
      <c r="L160" s="178">
        <f t="shared" ref="L160:L163" si="87">IF(I160="log-mg/L",H160,LOG(K160))</f>
        <v>1.9192889094845034</v>
      </c>
      <c r="M160" s="433">
        <f t="shared" ref="M160:M163" si="88">IF(I160="mol/L",H160,(K160/1000)/G160)</f>
        <v>3.4299999999999999E-4</v>
      </c>
      <c r="N160" s="178">
        <f t="shared" ref="N160:N163" si="89">IF(I160="log-mol/L",H160,LOG(M160))</f>
        <v>-3.4647058799572297</v>
      </c>
      <c r="O160" s="134" t="s">
        <v>33</v>
      </c>
      <c r="P160" s="600" t="s">
        <v>511</v>
      </c>
      <c r="Q160" s="100">
        <f>VLOOKUP(P160,References!$B$7:$F$252,5,FALSE)</f>
        <v>36</v>
      </c>
    </row>
    <row r="161" spans="1:17" x14ac:dyDescent="0.2">
      <c r="A161" s="830"/>
      <c r="B161" s="832"/>
      <c r="C161" s="832"/>
      <c r="D161" s="832"/>
      <c r="E161" s="58" t="s">
        <v>216</v>
      </c>
      <c r="F161" s="58" t="s">
        <v>217</v>
      </c>
      <c r="G161" s="145">
        <v>243.1</v>
      </c>
      <c r="H161" s="447">
        <v>4.8999999999999998E-4</v>
      </c>
      <c r="I161" s="58" t="s">
        <v>509</v>
      </c>
      <c r="J161" s="134" t="s">
        <v>515</v>
      </c>
      <c r="K161" s="433">
        <f t="shared" si="86"/>
        <v>119.11899999999999</v>
      </c>
      <c r="L161" s="178">
        <f t="shared" si="87"/>
        <v>2.0759810388718494</v>
      </c>
      <c r="M161" s="433">
        <f t="shared" si="88"/>
        <v>4.8999999999999998E-4</v>
      </c>
      <c r="N161" s="178">
        <f t="shared" si="89"/>
        <v>-3.3098039199714862</v>
      </c>
      <c r="O161" s="134">
        <v>25</v>
      </c>
      <c r="P161" s="600" t="s">
        <v>511</v>
      </c>
      <c r="Q161" s="100">
        <f>VLOOKUP(P161,References!$B$7:$F$252,5,FALSE)</f>
        <v>36</v>
      </c>
    </row>
    <row r="162" spans="1:17" x14ac:dyDescent="0.2">
      <c r="A162" s="847"/>
      <c r="B162" s="834"/>
      <c r="C162" s="834"/>
      <c r="D162" s="834"/>
      <c r="E162" s="59" t="s">
        <v>216</v>
      </c>
      <c r="F162" s="59" t="s">
        <v>217</v>
      </c>
      <c r="G162" s="239">
        <v>244.1</v>
      </c>
      <c r="H162" s="448">
        <v>8.3999999999999995E-3</v>
      </c>
      <c r="I162" s="59" t="s">
        <v>509</v>
      </c>
      <c r="J162" s="195" t="s">
        <v>514</v>
      </c>
      <c r="K162" s="469">
        <f t="shared" si="86"/>
        <v>2050.44</v>
      </c>
      <c r="L162" s="183">
        <f t="shared" si="87"/>
        <v>3.3118470654790704</v>
      </c>
      <c r="M162" s="469">
        <f t="shared" si="88"/>
        <v>8.3999999999999995E-3</v>
      </c>
      <c r="N162" s="183">
        <f t="shared" si="89"/>
        <v>-2.0757207139381184</v>
      </c>
      <c r="O162" s="195" t="s">
        <v>33</v>
      </c>
      <c r="P162" s="598" t="s">
        <v>511</v>
      </c>
      <c r="Q162" s="122">
        <f>VLOOKUP(P162,References!$B$7:$F$252,5,FALSE)</f>
        <v>36</v>
      </c>
    </row>
    <row r="163" spans="1:17" x14ac:dyDescent="0.2">
      <c r="A163" s="295" t="s">
        <v>221</v>
      </c>
      <c r="B163" s="131" t="s">
        <v>222</v>
      </c>
      <c r="C163" s="153">
        <v>278.10000000000002</v>
      </c>
      <c r="D163" s="131" t="s">
        <v>223</v>
      </c>
      <c r="E163" s="59" t="s">
        <v>222</v>
      </c>
      <c r="F163" s="131" t="s">
        <v>223</v>
      </c>
      <c r="G163" s="153">
        <v>278.10000000000002</v>
      </c>
      <c r="H163" s="732">
        <v>-1.39</v>
      </c>
      <c r="I163" s="131" t="s">
        <v>521</v>
      </c>
      <c r="J163" s="142" t="s">
        <v>522</v>
      </c>
      <c r="K163" s="525">
        <f t="shared" si="86"/>
        <v>11329.245525732375</v>
      </c>
      <c r="L163" s="185">
        <f t="shared" si="87"/>
        <v>4.0542009888641592</v>
      </c>
      <c r="M163" s="525">
        <f t="shared" si="88"/>
        <v>4.0738027780411273E-2</v>
      </c>
      <c r="N163" s="185">
        <f t="shared" si="89"/>
        <v>-1.39</v>
      </c>
      <c r="O163" s="142" t="s">
        <v>33</v>
      </c>
      <c r="P163" s="599" t="s">
        <v>523</v>
      </c>
      <c r="Q163" s="124">
        <f>VLOOKUP(P163,References!$B$7:$F$252,5,FALSE)</f>
        <v>127</v>
      </c>
    </row>
    <row r="164" spans="1:17" x14ac:dyDescent="0.2">
      <c r="A164" s="868" t="s">
        <v>224</v>
      </c>
      <c r="B164" s="869" t="s">
        <v>225</v>
      </c>
      <c r="C164" s="841">
        <v>342.1</v>
      </c>
      <c r="D164" s="832" t="s">
        <v>226</v>
      </c>
      <c r="E164" s="145" t="s">
        <v>225</v>
      </c>
      <c r="F164" s="58" t="s">
        <v>226</v>
      </c>
      <c r="G164" s="178">
        <v>342.1</v>
      </c>
      <c r="H164" s="354">
        <v>3.3E-4</v>
      </c>
      <c r="I164" s="58" t="s">
        <v>509</v>
      </c>
      <c r="J164" s="58" t="s">
        <v>514</v>
      </c>
      <c r="K164" s="433">
        <f>IF(I164="mg/L",H164,IF(I164="log-mg/L",10^H164,IF(I164="g/L",H164*1000,IF(I164="ug/L",H164/1000,IF(I164="ng/mL",H164/1000,IF(I164="mol/L",H164*G164*1000,IF(I164="log-mol/L",(10^(H164))*G164*1000)))))))</f>
        <v>112.893</v>
      </c>
      <c r="L164" s="178">
        <f t="shared" si="43"/>
        <v>2.0526670140629499</v>
      </c>
      <c r="M164" s="433">
        <f>IF(I164="mol/L",H164,(K164/1000)/G164)</f>
        <v>3.3E-4</v>
      </c>
      <c r="N164" s="178">
        <f t="shared" ref="N164:N173" si="90">IF(I164="log-mol/L",H164,LOG(M164))</f>
        <v>-3.4814860601221125</v>
      </c>
      <c r="O164" s="58" t="s">
        <v>33</v>
      </c>
      <c r="P164" s="600" t="s">
        <v>511</v>
      </c>
      <c r="Q164" s="100">
        <f>VLOOKUP(P164,References!$B$7:$F$252,5,FALSE)</f>
        <v>36</v>
      </c>
    </row>
    <row r="165" spans="1:17" x14ac:dyDescent="0.2">
      <c r="A165" s="879"/>
      <c r="B165" s="851"/>
      <c r="C165" s="842"/>
      <c r="D165" s="834"/>
      <c r="E165" s="239" t="s">
        <v>225</v>
      </c>
      <c r="F165" s="59" t="s">
        <v>226</v>
      </c>
      <c r="G165" s="183">
        <v>342.1</v>
      </c>
      <c r="H165" s="327">
        <v>5.22E-4</v>
      </c>
      <c r="I165" s="59" t="s">
        <v>509</v>
      </c>
      <c r="J165" s="59" t="s">
        <v>515</v>
      </c>
      <c r="K165" s="469">
        <f>IF(I165="mg/L",H165,IF(I165="log-mg/L",10^H165,IF(I165="g/L",H165*1000,IF(I165="ug/L",H165/1000,IF(I165="ng/mL",H165/1000,IF(I165="mol/L",H165*G165*1000,IF(I165="log-mol/L",(10^(H165))*G165*1000)))))))</f>
        <v>178.57620000000003</v>
      </c>
      <c r="L165" s="183">
        <f t="shared" si="43"/>
        <v>2.251823577187325</v>
      </c>
      <c r="M165" s="469">
        <f>IF(I165="mol/L",H165,(K165/1000)/G165)</f>
        <v>5.22E-4</v>
      </c>
      <c r="N165" s="183">
        <f t="shared" si="90"/>
        <v>-3.2823294969977379</v>
      </c>
      <c r="O165" s="59">
        <v>25</v>
      </c>
      <c r="P165" s="598" t="s">
        <v>511</v>
      </c>
      <c r="Q165" s="122">
        <f>VLOOKUP(P165,References!$B$7:$F$252,5,FALSE)</f>
        <v>36</v>
      </c>
    </row>
    <row r="166" spans="1:17" x14ac:dyDescent="0.2">
      <c r="A166" s="867" t="s">
        <v>230</v>
      </c>
      <c r="B166" s="850" t="s">
        <v>231</v>
      </c>
      <c r="C166" s="843">
        <v>378.1</v>
      </c>
      <c r="D166" s="833" t="s">
        <v>232</v>
      </c>
      <c r="E166" s="151" t="s">
        <v>231</v>
      </c>
      <c r="F166" s="57" t="s">
        <v>232</v>
      </c>
      <c r="G166" s="181">
        <v>378.1</v>
      </c>
      <c r="H166" s="57">
        <v>-2.83</v>
      </c>
      <c r="I166" s="57" t="s">
        <v>521</v>
      </c>
      <c r="J166" s="57" t="s">
        <v>522</v>
      </c>
      <c r="K166" s="694">
        <f>IF(I166="mg/L",H166,IF(I166="log-mg/L",10^H166,IF(I166="g/L",H166*1000,IF(I166="ug/L",H166/1000,IF(I166="ng/mL",H166/1000,IF(I166="mol/L",H166*G167*1000,IF(I166="log-mol/L",(10^(H166))*G167*1000)))))))</f>
        <v>559.2508815663989</v>
      </c>
      <c r="L166" s="181">
        <f>IF(I166="log-mg/L",H166,LOG(K166))</f>
        <v>2.7476066773625352</v>
      </c>
      <c r="M166" s="694">
        <f>IF(I166="mol/L",H166,(K166/1000)/G167)</f>
        <v>1.4791083881682066E-3</v>
      </c>
      <c r="N166" s="181">
        <f>IF(I166="log-mol/L",H166,LOG(M166))</f>
        <v>-2.83</v>
      </c>
      <c r="O166" s="57" t="s">
        <v>33</v>
      </c>
      <c r="P166" s="733" t="s">
        <v>523</v>
      </c>
      <c r="Q166" s="121">
        <f>VLOOKUP(P166,References!$B$7:$F$252,5,FALSE)</f>
        <v>127</v>
      </c>
    </row>
    <row r="167" spans="1:17" x14ac:dyDescent="0.2">
      <c r="A167" s="868"/>
      <c r="B167" s="869"/>
      <c r="C167" s="841"/>
      <c r="D167" s="832"/>
      <c r="E167" s="145" t="s">
        <v>231</v>
      </c>
      <c r="F167" s="58" t="s">
        <v>232</v>
      </c>
      <c r="G167" s="178">
        <v>378.1</v>
      </c>
      <c r="H167" s="58">
        <v>-2.93</v>
      </c>
      <c r="I167" s="58" t="s">
        <v>521</v>
      </c>
      <c r="J167" s="58" t="s">
        <v>522</v>
      </c>
      <c r="K167" s="433">
        <f>IF(I167="mg/L",H167,IF(I167="log-mg/L",10^H167,IF(I167="g/L",H167*1000,IF(I167="ug/L",H167/1000,IF(I167="ng/mL",H167/1000,IF(I167="mol/L",H167*G166*1000,IF(I167="log-mol/L",(10^(H167))*G166*1000)))))))</f>
        <v>444.22876552263557</v>
      </c>
      <c r="L167" s="178">
        <f t="shared" si="43"/>
        <v>2.6476066773625351</v>
      </c>
      <c r="M167" s="433">
        <f>IF(I167="mol/L",H167,(K167/1000)/G166)</f>
        <v>1.174897554939528E-3</v>
      </c>
      <c r="N167" s="178">
        <f t="shared" si="90"/>
        <v>-2.93</v>
      </c>
      <c r="O167" s="58" t="s">
        <v>33</v>
      </c>
      <c r="P167" s="600" t="s">
        <v>533</v>
      </c>
      <c r="Q167" s="100">
        <f>VLOOKUP(P167,References!$B$7:$F$252,5,FALSE)</f>
        <v>40</v>
      </c>
    </row>
    <row r="168" spans="1:17" x14ac:dyDescent="0.2">
      <c r="A168" s="868"/>
      <c r="B168" s="869"/>
      <c r="C168" s="841"/>
      <c r="D168" s="832"/>
      <c r="E168" s="145" t="s">
        <v>231</v>
      </c>
      <c r="F168" s="58" t="s">
        <v>232</v>
      </c>
      <c r="G168" s="178">
        <v>378.1</v>
      </c>
      <c r="H168" s="354">
        <v>8.2800000000000003E-6</v>
      </c>
      <c r="I168" s="58" t="s">
        <v>509</v>
      </c>
      <c r="J168" s="58" t="s">
        <v>512</v>
      </c>
      <c r="K168" s="433">
        <f>IF(I168="mg/L",H168,IF(I168="log-mg/L",10^H168,IF(I168="g/L",H168*1000,IF(I168="ug/L",H168/1000,IF(I168="ng/mL",H168/1000,IF(I168="mol/L",H168*G168*1000,IF(I168="log-mol/L",(10^(H168))*G168*1000)))))))</f>
        <v>3.1306680000000005</v>
      </c>
      <c r="L168" s="178">
        <f t="shared" si="43"/>
        <v>0.49563701414741584</v>
      </c>
      <c r="M168" s="433">
        <f>IF(I168="mol/L",H168,(K168/1000)/G168)</f>
        <v>8.2800000000000003E-6</v>
      </c>
      <c r="N168" s="178">
        <f t="shared" si="90"/>
        <v>-5.0819696632151201</v>
      </c>
      <c r="O168" s="58" t="s">
        <v>33</v>
      </c>
      <c r="P168" s="600" t="s">
        <v>511</v>
      </c>
      <c r="Q168" s="100">
        <f>VLOOKUP(P168,References!$B$7:$F$252,5,FALSE)</f>
        <v>36</v>
      </c>
    </row>
    <row r="169" spans="1:17" x14ac:dyDescent="0.2">
      <c r="A169" s="868"/>
      <c r="B169" s="869"/>
      <c r="C169" s="841"/>
      <c r="D169" s="832"/>
      <c r="E169" s="145" t="s">
        <v>231</v>
      </c>
      <c r="F169" s="58" t="s">
        <v>232</v>
      </c>
      <c r="G169" s="178">
        <v>378.1</v>
      </c>
      <c r="H169" s="354">
        <v>1.6000000000000001E-4</v>
      </c>
      <c r="I169" s="58" t="s">
        <v>509</v>
      </c>
      <c r="J169" s="58" t="s">
        <v>514</v>
      </c>
      <c r="K169" s="433">
        <f>IF(I169="mg/L",H169,IF(I169="log-mg/L",10^H169,IF(I169="g/L",H169*1000,IF(I169="ug/L",H169/1000,IF(I169="ng/mL",H169/1000,IF(I169="mol/L",H169*G169*1000,IF(I169="log-mol/L",(10^(H169))*G169*1000)))))))</f>
        <v>60.496000000000009</v>
      </c>
      <c r="L169" s="178">
        <f t="shared" si="43"/>
        <v>1.7817266600184605</v>
      </c>
      <c r="M169" s="433">
        <f>IF(I169="mol/L",H169,(K169/1000)/G169)</f>
        <v>1.6000000000000001E-4</v>
      </c>
      <c r="N169" s="178">
        <f t="shared" si="90"/>
        <v>-3.795880017344075</v>
      </c>
      <c r="O169" s="58" t="s">
        <v>33</v>
      </c>
      <c r="P169" s="600" t="s">
        <v>511</v>
      </c>
      <c r="Q169" s="100">
        <f>VLOOKUP(P169,References!$B$7:$F$252,5,FALSE)</f>
        <v>36</v>
      </c>
    </row>
    <row r="170" spans="1:17" x14ac:dyDescent="0.2">
      <c r="A170" s="879"/>
      <c r="B170" s="851"/>
      <c r="C170" s="842"/>
      <c r="D170" s="834"/>
      <c r="E170" s="239" t="s">
        <v>231</v>
      </c>
      <c r="F170" s="59" t="s">
        <v>232</v>
      </c>
      <c r="G170" s="183">
        <v>378.1</v>
      </c>
      <c r="H170" s="327">
        <v>1.41E-2</v>
      </c>
      <c r="I170" s="59" t="s">
        <v>509</v>
      </c>
      <c r="J170" s="59" t="s">
        <v>515</v>
      </c>
      <c r="K170" s="469">
        <f>IF(I170="mg/L",H170,IF(I170="log-mg/L",10^H170,IF(I170="g/L",H170*1000,IF(I170="ug/L",H170/1000,IF(I170="ng/mL",H170/1000,IF(I170="mol/L",H170*G170*1000,IF(I170="log-mol/L",(10^(H170))*G170*1000)))))))</f>
        <v>5331.21</v>
      </c>
      <c r="L170" s="183">
        <f t="shared" si="43"/>
        <v>3.7268257900179154</v>
      </c>
      <c r="M170" s="469">
        <f>IF(I170="mol/L",H170,(K170/1000)/G170)</f>
        <v>1.41E-2</v>
      </c>
      <c r="N170" s="183">
        <f t="shared" si="90"/>
        <v>-1.8507808873446201</v>
      </c>
      <c r="O170" s="59">
        <v>25</v>
      </c>
      <c r="P170" s="598" t="s">
        <v>511</v>
      </c>
      <c r="Q170" s="122">
        <f>VLOOKUP(P170,References!$B$7:$F$252,5,FALSE)</f>
        <v>36</v>
      </c>
    </row>
    <row r="171" spans="1:17" x14ac:dyDescent="0.2">
      <c r="A171" s="853" t="s">
        <v>236</v>
      </c>
      <c r="B171" s="832" t="s">
        <v>237</v>
      </c>
      <c r="C171" s="841">
        <v>442.1</v>
      </c>
      <c r="D171" s="832" t="s">
        <v>238</v>
      </c>
      <c r="E171" s="145" t="s">
        <v>237</v>
      </c>
      <c r="F171" s="145" t="s">
        <v>238</v>
      </c>
      <c r="G171" s="133">
        <v>442.1</v>
      </c>
      <c r="H171" s="354">
        <v>2.34E-6</v>
      </c>
      <c r="I171" s="58" t="s">
        <v>509</v>
      </c>
      <c r="J171" s="58" t="s">
        <v>512</v>
      </c>
      <c r="K171" s="433">
        <f t="shared" ref="K171:K173" si="91">IF(I171="mg/L",H171,IF(I171="log-mg/L",10^H171,IF(I171="g/L",H171*1000,IF(I171="ug/L",H171/1000,IF(I171="ng/mL",H171/1000,IF(I171="mol/L",H171*G171*1000,IF(I171="log-mol/L",(10^(H171))*G171*1000)))))))</f>
        <v>1.0345140000000002</v>
      </c>
      <c r="L171" s="178">
        <f t="shared" si="43"/>
        <v>1.4736372316016912E-2</v>
      </c>
      <c r="M171" s="433">
        <f t="shared" ref="M171:M173" si="92">IF(I171="mol/L",H171,(K171/1000)/G171)</f>
        <v>2.34E-6</v>
      </c>
      <c r="N171" s="178">
        <f t="shared" si="90"/>
        <v>-5.6307841425898575</v>
      </c>
      <c r="O171" s="58" t="s">
        <v>33</v>
      </c>
      <c r="P171" s="600" t="s">
        <v>511</v>
      </c>
      <c r="Q171" s="100">
        <f>VLOOKUP(P171,References!$B$7:$F$252,5,FALSE)</f>
        <v>36</v>
      </c>
    </row>
    <row r="172" spans="1:17" x14ac:dyDescent="0.2">
      <c r="A172" s="853"/>
      <c r="B172" s="832"/>
      <c r="C172" s="841"/>
      <c r="D172" s="832"/>
      <c r="E172" s="145" t="s">
        <v>237</v>
      </c>
      <c r="F172" s="145" t="s">
        <v>238</v>
      </c>
      <c r="G172" s="133">
        <v>442.1</v>
      </c>
      <c r="H172" s="354">
        <v>3.1000000000000001E-5</v>
      </c>
      <c r="I172" s="58" t="s">
        <v>509</v>
      </c>
      <c r="J172" s="58" t="s">
        <v>514</v>
      </c>
      <c r="K172" s="433">
        <f t="shared" si="91"/>
        <v>13.705100000000002</v>
      </c>
      <c r="L172" s="178">
        <f t="shared" si="43"/>
        <v>1.1368822087401467</v>
      </c>
      <c r="M172" s="433">
        <f t="shared" si="92"/>
        <v>3.1000000000000001E-5</v>
      </c>
      <c r="N172" s="178">
        <f t="shared" si="90"/>
        <v>-4.5086383061657269</v>
      </c>
      <c r="O172" s="58" t="s">
        <v>33</v>
      </c>
      <c r="P172" s="600" t="s">
        <v>511</v>
      </c>
      <c r="Q172" s="100">
        <f>VLOOKUP(P172,References!$B$7:$F$252,5,FALSE)</f>
        <v>36</v>
      </c>
    </row>
    <row r="173" spans="1:17" x14ac:dyDescent="0.2">
      <c r="A173" s="854"/>
      <c r="B173" s="834"/>
      <c r="C173" s="842"/>
      <c r="D173" s="834"/>
      <c r="E173" s="239" t="s">
        <v>237</v>
      </c>
      <c r="F173" s="239" t="s">
        <v>238</v>
      </c>
      <c r="G173" s="294">
        <v>442.1</v>
      </c>
      <c r="H173" s="327">
        <v>3.0200000000000001E-3</v>
      </c>
      <c r="I173" s="59" t="s">
        <v>509</v>
      </c>
      <c r="J173" s="59" t="s">
        <v>515</v>
      </c>
      <c r="K173" s="469">
        <f t="shared" si="91"/>
        <v>1335.1420000000001</v>
      </c>
      <c r="L173" s="183">
        <f t="shared" si="43"/>
        <v>3.1255274578630248</v>
      </c>
      <c r="M173" s="469">
        <f t="shared" si="92"/>
        <v>3.0200000000000001E-3</v>
      </c>
      <c r="N173" s="183">
        <f t="shared" si="90"/>
        <v>-2.5199930570428495</v>
      </c>
      <c r="O173" s="59">
        <v>25</v>
      </c>
      <c r="P173" s="598" t="s">
        <v>511</v>
      </c>
      <c r="Q173" s="122">
        <f>VLOOKUP(P173,References!$B$7:$F$252,5,FALSE)</f>
        <v>36</v>
      </c>
    </row>
    <row r="174" spans="1:17" x14ac:dyDescent="0.2">
      <c r="A174" s="867" t="s">
        <v>242</v>
      </c>
      <c r="B174" s="850" t="s">
        <v>243</v>
      </c>
      <c r="C174" s="843">
        <v>477.1</v>
      </c>
      <c r="D174" s="833" t="s">
        <v>244</v>
      </c>
      <c r="E174" s="150" t="s">
        <v>243</v>
      </c>
      <c r="F174" s="151" t="s">
        <v>244</v>
      </c>
      <c r="G174" s="167">
        <v>477.1</v>
      </c>
      <c r="H174" s="741">
        <v>-4.46</v>
      </c>
      <c r="I174" s="57" t="s">
        <v>521</v>
      </c>
      <c r="J174" s="57" t="s">
        <v>522</v>
      </c>
      <c r="K174" s="694">
        <f t="shared" ref="K174:K179" si="93">IF(I174="mg/L",H174,IF(I174="log-mg/L",10^H174,IF(I174="g/L",H174*1000,IF(I174="ug/L",H174/1000,IF(I174="ng/mL",H174/1000,IF(I174="mol/L",H174*G174*1000,IF(I174="log-mol/L",(10^(H174))*G174*1000)))))))</f>
        <v>16.542815135090287</v>
      </c>
      <c r="L174" s="181">
        <f t="shared" ref="L174:L179" si="94">IF(I174="log-mg/L",H174,LOG(K174))</f>
        <v>1.2186094165589261</v>
      </c>
      <c r="M174" s="694">
        <f t="shared" ref="M174:M179" si="95">IF(I174="mol/L",H174,(K174/1000)/G174)</f>
        <v>3.4673685045253161E-5</v>
      </c>
      <c r="N174" s="181">
        <f t="shared" ref="N174:N179" si="96">IF(I174="log-mol/L",H174,LOG(M174))</f>
        <v>-4.46</v>
      </c>
      <c r="O174" s="57" t="s">
        <v>33</v>
      </c>
      <c r="P174" s="733" t="s">
        <v>523</v>
      </c>
      <c r="Q174" s="121">
        <f>VLOOKUP(P174,References!$B$7:$F$252,5,FALSE)</f>
        <v>127</v>
      </c>
    </row>
    <row r="175" spans="1:17" x14ac:dyDescent="0.2">
      <c r="A175" s="868"/>
      <c r="B175" s="869"/>
      <c r="C175" s="841"/>
      <c r="D175" s="832"/>
      <c r="E175" s="149" t="s">
        <v>243</v>
      </c>
      <c r="F175" s="145" t="s">
        <v>244</v>
      </c>
      <c r="G175" s="133">
        <v>477.1</v>
      </c>
      <c r="H175" s="354">
        <v>1.35E-6</v>
      </c>
      <c r="I175" s="58" t="s">
        <v>509</v>
      </c>
      <c r="J175" s="58" t="s">
        <v>512</v>
      </c>
      <c r="K175" s="433">
        <f t="shared" ref="K175" si="97">IF(I175="mg/L",H175,IF(I175="log-mg/L",10^H175,IF(I175="g/L",H175*1000,IF(I175="ug/L",H175/1000,IF(I175="ng/mL",H175/1000,IF(I175="mol/L",H175*G175*1000,IF(I175="log-mol/L",(10^(H175))*G175*1000)))))))</f>
        <v>0.64408500000000013</v>
      </c>
      <c r="L175" s="178">
        <f t="shared" ref="L175" si="98">IF(I175="log-mg/L",H175,LOG(K175))</f>
        <v>-0.19105681494606769</v>
      </c>
      <c r="M175" s="433">
        <f t="shared" ref="M175" si="99">IF(I175="mol/L",H175,(K175/1000)/G175)</f>
        <v>1.35E-6</v>
      </c>
      <c r="N175" s="178">
        <f t="shared" ref="N175" si="100">IF(I175="log-mol/L",H175,LOG(M175))</f>
        <v>-5.8696662315049934</v>
      </c>
      <c r="O175" s="58" t="s">
        <v>33</v>
      </c>
      <c r="P175" s="600" t="s">
        <v>511</v>
      </c>
      <c r="Q175" s="100">
        <f>VLOOKUP(P175,References!$B$7:$F$252,5,FALSE)</f>
        <v>36</v>
      </c>
    </row>
    <row r="176" spans="1:17" x14ac:dyDescent="0.2">
      <c r="A176" s="868"/>
      <c r="B176" s="869"/>
      <c r="C176" s="841"/>
      <c r="D176" s="832"/>
      <c r="E176" s="149" t="s">
        <v>243</v>
      </c>
      <c r="F176" s="145" t="s">
        <v>244</v>
      </c>
      <c r="G176" s="133">
        <v>477.1</v>
      </c>
      <c r="H176" s="354">
        <v>2.5000000000000001E-5</v>
      </c>
      <c r="I176" s="58" t="s">
        <v>509</v>
      </c>
      <c r="J176" s="58" t="s">
        <v>514</v>
      </c>
      <c r="K176" s="433">
        <f t="shared" si="93"/>
        <v>11.9275</v>
      </c>
      <c r="L176" s="178">
        <f t="shared" si="94"/>
        <v>1.0765494252309638</v>
      </c>
      <c r="M176" s="433">
        <f t="shared" si="95"/>
        <v>2.5000000000000001E-5</v>
      </c>
      <c r="N176" s="178">
        <f t="shared" si="96"/>
        <v>-4.6020599913279625</v>
      </c>
      <c r="O176" s="58" t="s">
        <v>33</v>
      </c>
      <c r="P176" s="600" t="s">
        <v>511</v>
      </c>
      <c r="Q176" s="100">
        <f>VLOOKUP(P176,References!$B$7:$F$252,5,FALSE)</f>
        <v>36</v>
      </c>
    </row>
    <row r="177" spans="1:17" x14ac:dyDescent="0.2">
      <c r="A177" s="879"/>
      <c r="B177" s="851"/>
      <c r="C177" s="842"/>
      <c r="D177" s="834"/>
      <c r="E177" s="182" t="s">
        <v>243</v>
      </c>
      <c r="F177" s="239" t="s">
        <v>244</v>
      </c>
      <c r="G177" s="294">
        <v>477.1</v>
      </c>
      <c r="H177" s="327">
        <v>1.95E-4</v>
      </c>
      <c r="I177" s="59" t="s">
        <v>509</v>
      </c>
      <c r="J177" s="59" t="s">
        <v>515</v>
      </c>
      <c r="K177" s="469">
        <f t="shared" si="93"/>
        <v>93.034500000000008</v>
      </c>
      <c r="L177" s="183">
        <f t="shared" si="94"/>
        <v>1.9686440279214441</v>
      </c>
      <c r="M177" s="469">
        <f t="shared" si="95"/>
        <v>1.95E-4</v>
      </c>
      <c r="N177" s="183">
        <f t="shared" si="96"/>
        <v>-3.7099653886374822</v>
      </c>
      <c r="O177" s="59">
        <v>25</v>
      </c>
      <c r="P177" s="598" t="s">
        <v>511</v>
      </c>
      <c r="Q177" s="122">
        <f>VLOOKUP(P177,References!$B$7:$F$252,5,FALSE)</f>
        <v>36</v>
      </c>
    </row>
    <row r="178" spans="1:17" x14ac:dyDescent="0.2">
      <c r="A178" s="207" t="s">
        <v>248</v>
      </c>
      <c r="B178" s="239" t="s">
        <v>249</v>
      </c>
      <c r="C178" s="294">
        <v>578.1</v>
      </c>
      <c r="D178" s="153" t="s">
        <v>250</v>
      </c>
      <c r="E178" s="153" t="s">
        <v>249</v>
      </c>
      <c r="F178" s="153" t="s">
        <v>250</v>
      </c>
      <c r="G178" s="141">
        <v>578.1</v>
      </c>
      <c r="H178" s="696">
        <v>-5.97</v>
      </c>
      <c r="I178" s="131" t="s">
        <v>521</v>
      </c>
      <c r="J178" s="142" t="s">
        <v>522</v>
      </c>
      <c r="K178" s="525">
        <f t="shared" si="93"/>
        <v>0.61944531035785921</v>
      </c>
      <c r="L178" s="185">
        <f t="shared" si="94"/>
        <v>-0.20799703062488534</v>
      </c>
      <c r="M178" s="525">
        <f t="shared" si="95"/>
        <v>1.0715193052376047E-6</v>
      </c>
      <c r="N178" s="185">
        <f t="shared" si="96"/>
        <v>-5.97</v>
      </c>
      <c r="O178" s="142" t="s">
        <v>33</v>
      </c>
      <c r="P178" s="599" t="s">
        <v>523</v>
      </c>
      <c r="Q178" s="124">
        <f>VLOOKUP(P178,References!$B$7:$F$252,5,FALSE)</f>
        <v>127</v>
      </c>
    </row>
    <row r="179" spans="1:17" ht="17" thickBot="1" x14ac:dyDescent="0.25">
      <c r="A179" s="586" t="s">
        <v>252</v>
      </c>
      <c r="B179" s="145" t="s">
        <v>253</v>
      </c>
      <c r="C179" s="133">
        <v>678.1</v>
      </c>
      <c r="D179" s="145" t="s">
        <v>254</v>
      </c>
      <c r="E179" s="145" t="s">
        <v>253</v>
      </c>
      <c r="F179" s="145" t="s">
        <v>254</v>
      </c>
      <c r="G179" s="133">
        <v>678.1</v>
      </c>
      <c r="H179" s="350">
        <v>-7.2</v>
      </c>
      <c r="I179" s="58" t="s">
        <v>521</v>
      </c>
      <c r="J179" s="134" t="s">
        <v>522</v>
      </c>
      <c r="K179" s="433">
        <f t="shared" si="93"/>
        <v>4.2785217529201801E-2</v>
      </c>
      <c r="L179" s="178">
        <f t="shared" si="94"/>
        <v>-1.3687062556229914</v>
      </c>
      <c r="M179" s="433">
        <f t="shared" si="95"/>
        <v>6.3095734448019177E-8</v>
      </c>
      <c r="N179" s="178">
        <f t="shared" si="96"/>
        <v>-7.2</v>
      </c>
      <c r="O179" s="134" t="s">
        <v>33</v>
      </c>
      <c r="P179" s="600" t="s">
        <v>523</v>
      </c>
      <c r="Q179" s="100">
        <f>VLOOKUP(P179,References!$B$7:$F$252,5,FALSE)</f>
        <v>127</v>
      </c>
    </row>
    <row r="180" spans="1:17" ht="17" thickBot="1" x14ac:dyDescent="0.25">
      <c r="A180" s="78" t="s">
        <v>255</v>
      </c>
      <c r="B180" s="129" t="s">
        <v>256</v>
      </c>
      <c r="C180" s="82"/>
      <c r="D180" s="82"/>
      <c r="E180" s="79"/>
      <c r="F180" s="175"/>
      <c r="G180" s="175"/>
      <c r="H180" s="175"/>
      <c r="I180" s="175"/>
      <c r="J180" s="175"/>
      <c r="K180" s="594"/>
      <c r="L180" s="276"/>
      <c r="M180" s="594"/>
      <c r="N180" s="276"/>
      <c r="O180" s="175"/>
      <c r="P180" s="277"/>
      <c r="Q180" s="278"/>
    </row>
    <row r="181" spans="1:17" x14ac:dyDescent="0.2">
      <c r="A181" s="868" t="s">
        <v>257</v>
      </c>
      <c r="B181" s="869" t="s">
        <v>258</v>
      </c>
      <c r="C181" s="832">
        <v>328.2</v>
      </c>
      <c r="D181" s="832" t="s">
        <v>259</v>
      </c>
      <c r="E181" s="145" t="s">
        <v>258</v>
      </c>
      <c r="F181" s="58" t="s">
        <v>259</v>
      </c>
      <c r="G181" s="58">
        <v>328.2</v>
      </c>
      <c r="H181" s="58">
        <v>-1.07</v>
      </c>
      <c r="I181" s="58" t="s">
        <v>521</v>
      </c>
      <c r="J181" s="58" t="s">
        <v>522</v>
      </c>
      <c r="K181" s="433">
        <f t="shared" ref="K181:K195" si="101">IF(I181="mg/L",H181,IF(I181="log-mg/L",10^H181,IF(I181="g/L",H181*1000,IF(I181="ug/L",H181/1000,IF(I181="ng/mL",H181/1000,IF(I181="mol/L",H181*G181*1000,IF(I181="log-mol/L",(10^(H181))*G181*1000)))))))</f>
        <v>27934.350413801982</v>
      </c>
      <c r="L181" s="178">
        <f t="shared" si="43"/>
        <v>4.4461385767170745</v>
      </c>
      <c r="M181" s="433">
        <f t="shared" ref="M181:M195" si="102">IF(I181="mol/L",H181,(K181/1000)/G181)</f>
        <v>8.5113803820237616E-2</v>
      </c>
      <c r="N181" s="178">
        <f t="shared" ref="N181:N192" si="103">IF(I181="log-mol/L",H181,LOG(M181))</f>
        <v>-1.07</v>
      </c>
      <c r="O181" s="58" t="s">
        <v>33</v>
      </c>
      <c r="P181" s="600" t="s">
        <v>523</v>
      </c>
      <c r="Q181" s="100">
        <f>VLOOKUP(P181,References!$B$7:$F$252,5,FALSE)</f>
        <v>127</v>
      </c>
    </row>
    <row r="182" spans="1:17" x14ac:dyDescent="0.2">
      <c r="A182" s="868"/>
      <c r="B182" s="869"/>
      <c r="C182" s="832"/>
      <c r="D182" s="832"/>
      <c r="E182" s="145" t="s">
        <v>258</v>
      </c>
      <c r="F182" s="58" t="s">
        <v>259</v>
      </c>
      <c r="G182" s="58">
        <v>328.2</v>
      </c>
      <c r="H182" s="58">
        <v>1.4999999999999999E-2</v>
      </c>
      <c r="I182" s="58" t="s">
        <v>509</v>
      </c>
      <c r="J182" s="58" t="s">
        <v>514</v>
      </c>
      <c r="K182" s="433">
        <f t="shared" si="101"/>
        <v>4923</v>
      </c>
      <c r="L182" s="178">
        <f t="shared" si="43"/>
        <v>3.6922298357727557</v>
      </c>
      <c r="M182" s="433">
        <f t="shared" si="102"/>
        <v>1.4999999999999999E-2</v>
      </c>
      <c r="N182" s="178">
        <f t="shared" si="103"/>
        <v>-1.8239087409443189</v>
      </c>
      <c r="O182" s="58" t="s">
        <v>33</v>
      </c>
      <c r="P182" s="600" t="s">
        <v>511</v>
      </c>
      <c r="Q182" s="100">
        <f>VLOOKUP(P182,References!$B$7:$F$252,5,FALSE)</f>
        <v>36</v>
      </c>
    </row>
    <row r="183" spans="1:17" x14ac:dyDescent="0.2">
      <c r="A183" s="879"/>
      <c r="B183" s="851"/>
      <c r="C183" s="834"/>
      <c r="D183" s="834"/>
      <c r="E183" s="239" t="s">
        <v>258</v>
      </c>
      <c r="F183" s="59" t="s">
        <v>259</v>
      </c>
      <c r="G183" s="59">
        <v>328.2</v>
      </c>
      <c r="H183" s="327">
        <v>2.4099999999999998E-3</v>
      </c>
      <c r="I183" s="59" t="s">
        <v>509</v>
      </c>
      <c r="J183" s="59" t="s">
        <v>515</v>
      </c>
      <c r="K183" s="469">
        <f t="shared" si="101"/>
        <v>790.96199999999999</v>
      </c>
      <c r="L183" s="183">
        <f t="shared" si="43"/>
        <v>2.8981556192919427</v>
      </c>
      <c r="M183" s="469">
        <f t="shared" si="102"/>
        <v>2.4099999999999998E-3</v>
      </c>
      <c r="N183" s="183">
        <f t="shared" si="103"/>
        <v>-2.6179829574251317</v>
      </c>
      <c r="O183" s="59">
        <v>25</v>
      </c>
      <c r="P183" s="598" t="s">
        <v>511</v>
      </c>
      <c r="Q183" s="122">
        <f>VLOOKUP(P183,References!$B$7:$F$252,5,FALSE)</f>
        <v>36</v>
      </c>
    </row>
    <row r="184" spans="1:17" x14ac:dyDescent="0.2">
      <c r="A184" s="868" t="s">
        <v>260</v>
      </c>
      <c r="B184" s="869" t="s">
        <v>261</v>
      </c>
      <c r="C184" s="832">
        <v>428.2</v>
      </c>
      <c r="D184" s="832" t="s">
        <v>262</v>
      </c>
      <c r="E184" s="145" t="s">
        <v>261</v>
      </c>
      <c r="F184" s="58" t="s">
        <v>262</v>
      </c>
      <c r="G184" s="58">
        <v>428.2</v>
      </c>
      <c r="H184" s="58">
        <v>-2.5099999999999998</v>
      </c>
      <c r="I184" s="58" t="s">
        <v>521</v>
      </c>
      <c r="J184" s="58" t="s">
        <v>522</v>
      </c>
      <c r="K184" s="433">
        <f t="shared" si="101"/>
        <v>1323.2645042023194</v>
      </c>
      <c r="L184" s="178">
        <f t="shared" si="43"/>
        <v>3.1216466629584194</v>
      </c>
      <c r="M184" s="433">
        <f t="shared" si="102"/>
        <v>3.0902954325135908E-3</v>
      </c>
      <c r="N184" s="178">
        <f t="shared" si="103"/>
        <v>-2.5099999999999998</v>
      </c>
      <c r="O184" s="58" t="s">
        <v>33</v>
      </c>
      <c r="P184" s="600" t="s">
        <v>523</v>
      </c>
      <c r="Q184" s="100">
        <f>VLOOKUP(P184,References!$B$7:$F$252,5,FALSE)</f>
        <v>127</v>
      </c>
    </row>
    <row r="185" spans="1:17" x14ac:dyDescent="0.2">
      <c r="A185" s="868"/>
      <c r="B185" s="869"/>
      <c r="C185" s="832"/>
      <c r="D185" s="832"/>
      <c r="E185" s="145" t="s">
        <v>261</v>
      </c>
      <c r="F185" s="58" t="s">
        <v>262</v>
      </c>
      <c r="G185" s="58">
        <v>428.2</v>
      </c>
      <c r="H185" s="354">
        <v>2.48E-6</v>
      </c>
      <c r="I185" s="58" t="s">
        <v>509</v>
      </c>
      <c r="J185" s="58" t="s">
        <v>513</v>
      </c>
      <c r="K185" s="433">
        <f t="shared" si="101"/>
        <v>1.0619359999999998</v>
      </c>
      <c r="L185" s="178">
        <f t="shared" si="43"/>
        <v>2.6098343784635696E-2</v>
      </c>
      <c r="M185" s="433">
        <f t="shared" si="102"/>
        <v>2.48E-6</v>
      </c>
      <c r="N185" s="178">
        <f t="shared" si="103"/>
        <v>-5.605548319173784</v>
      </c>
      <c r="O185" s="58" t="s">
        <v>33</v>
      </c>
      <c r="P185" s="600" t="s">
        <v>511</v>
      </c>
      <c r="Q185" s="100">
        <f>VLOOKUP(P185,References!$B$7:$F$252,5,FALSE)</f>
        <v>36</v>
      </c>
    </row>
    <row r="186" spans="1:17" x14ac:dyDescent="0.2">
      <c r="A186" s="868"/>
      <c r="B186" s="869"/>
      <c r="C186" s="832"/>
      <c r="D186" s="832"/>
      <c r="E186" s="145" t="s">
        <v>261</v>
      </c>
      <c r="F186" s="58" t="s">
        <v>262</v>
      </c>
      <c r="G186" s="58">
        <v>428.2</v>
      </c>
      <c r="H186" s="354">
        <v>1.4399999999999999E-5</v>
      </c>
      <c r="I186" s="58" t="s">
        <v>509</v>
      </c>
      <c r="J186" s="58" t="s">
        <v>512</v>
      </c>
      <c r="K186" s="433">
        <f t="shared" si="101"/>
        <v>6.1660799999999991</v>
      </c>
      <c r="L186" s="178">
        <f t="shared" si="43"/>
        <v>0.79000915505366909</v>
      </c>
      <c r="M186" s="433">
        <f t="shared" si="102"/>
        <v>1.4399999999999999E-5</v>
      </c>
      <c r="N186" s="178">
        <f t="shared" si="103"/>
        <v>-4.8416375079047507</v>
      </c>
      <c r="O186" s="58" t="s">
        <v>33</v>
      </c>
      <c r="P186" s="600" t="s">
        <v>511</v>
      </c>
      <c r="Q186" s="100">
        <f>VLOOKUP(P186,References!$B$7:$F$252,5,FALSE)</f>
        <v>36</v>
      </c>
    </row>
    <row r="187" spans="1:17" x14ac:dyDescent="0.2">
      <c r="A187" s="868"/>
      <c r="B187" s="869"/>
      <c r="C187" s="832"/>
      <c r="D187" s="832"/>
      <c r="E187" s="145" t="s">
        <v>261</v>
      </c>
      <c r="F187" s="58" t="s">
        <v>262</v>
      </c>
      <c r="G187" s="58">
        <v>428.2</v>
      </c>
      <c r="H187" s="354">
        <v>2.2000000000000001E-3</v>
      </c>
      <c r="I187" s="58" t="s">
        <v>509</v>
      </c>
      <c r="J187" s="58" t="s">
        <v>514</v>
      </c>
      <c r="K187" s="433">
        <f t="shared" si="101"/>
        <v>942.04</v>
      </c>
      <c r="L187" s="178">
        <f t="shared" si="43"/>
        <v>2.9740693437806258</v>
      </c>
      <c r="M187" s="433">
        <f t="shared" si="102"/>
        <v>2.2000000000000001E-3</v>
      </c>
      <c r="N187" s="178">
        <f t="shared" si="103"/>
        <v>-2.6575773191777938</v>
      </c>
      <c r="O187" s="58" t="s">
        <v>33</v>
      </c>
      <c r="P187" s="600" t="s">
        <v>511</v>
      </c>
      <c r="Q187" s="100">
        <f>VLOOKUP(P187,References!$B$7:$F$252,5,FALSE)</f>
        <v>36</v>
      </c>
    </row>
    <row r="188" spans="1:17" x14ac:dyDescent="0.2">
      <c r="A188" s="868"/>
      <c r="B188" s="869"/>
      <c r="C188" s="832"/>
      <c r="D188" s="834"/>
      <c r="E188" s="239" t="s">
        <v>261</v>
      </c>
      <c r="F188" s="59" t="s">
        <v>262</v>
      </c>
      <c r="G188" s="59">
        <v>428.2</v>
      </c>
      <c r="H188" s="327">
        <v>1.1999999999999999E-3</v>
      </c>
      <c r="I188" s="59" t="s">
        <v>509</v>
      </c>
      <c r="J188" s="59" t="s">
        <v>515</v>
      </c>
      <c r="K188" s="469">
        <f t="shared" si="101"/>
        <v>513.83999999999992</v>
      </c>
      <c r="L188" s="183">
        <f t="shared" si="43"/>
        <v>2.7108279090060443</v>
      </c>
      <c r="M188" s="469">
        <f t="shared" si="102"/>
        <v>1.1999999999999999E-3</v>
      </c>
      <c r="N188" s="183">
        <f t="shared" si="103"/>
        <v>-2.9208187539523753</v>
      </c>
      <c r="O188" s="59">
        <v>25</v>
      </c>
      <c r="P188" s="600" t="s">
        <v>511</v>
      </c>
      <c r="Q188" s="100">
        <f>VLOOKUP(P188,References!$B$7:$F$252,5,FALSE)</f>
        <v>36</v>
      </c>
    </row>
    <row r="189" spans="1:17" x14ac:dyDescent="0.2">
      <c r="A189" s="867" t="s">
        <v>266</v>
      </c>
      <c r="B189" s="850" t="s">
        <v>267</v>
      </c>
      <c r="C189" s="833">
        <v>528.20000000000005</v>
      </c>
      <c r="D189" s="833" t="s">
        <v>268</v>
      </c>
      <c r="E189" s="151" t="s">
        <v>267</v>
      </c>
      <c r="F189" s="57" t="s">
        <v>268</v>
      </c>
      <c r="G189" s="57">
        <v>528.20000000000005</v>
      </c>
      <c r="H189" s="57">
        <v>-3.96</v>
      </c>
      <c r="I189" s="57" t="s">
        <v>521</v>
      </c>
      <c r="J189" s="57" t="s">
        <v>522</v>
      </c>
      <c r="K189" s="433">
        <f t="shared" si="101"/>
        <v>57.915978320282967</v>
      </c>
      <c r="L189" s="181">
        <f t="shared" si="43"/>
        <v>1.7627983968709047</v>
      </c>
      <c r="M189" s="433">
        <f t="shared" si="102"/>
        <v>1.0964781961431837E-4</v>
      </c>
      <c r="N189" s="181">
        <f t="shared" si="103"/>
        <v>-3.96</v>
      </c>
      <c r="O189" s="57" t="s">
        <v>33</v>
      </c>
      <c r="P189" s="733" t="s">
        <v>523</v>
      </c>
      <c r="Q189" s="121">
        <f>VLOOKUP(P189,References!$B$7:$F$252,5,FALSE)</f>
        <v>127</v>
      </c>
    </row>
    <row r="190" spans="1:17" x14ac:dyDescent="0.2">
      <c r="A190" s="868"/>
      <c r="B190" s="869"/>
      <c r="C190" s="832"/>
      <c r="D190" s="832"/>
      <c r="E190" s="145" t="s">
        <v>267</v>
      </c>
      <c r="F190" s="58" t="s">
        <v>268</v>
      </c>
      <c r="G190" s="58">
        <v>528.20000000000005</v>
      </c>
      <c r="H190" s="354">
        <v>1.04E-8</v>
      </c>
      <c r="I190" s="58" t="s">
        <v>509</v>
      </c>
      <c r="J190" s="58" t="s">
        <v>513</v>
      </c>
      <c r="K190" s="433">
        <f t="shared" si="101"/>
        <v>5.4932800000000006E-3</v>
      </c>
      <c r="L190" s="178">
        <f t="shared" si="43"/>
        <v>-2.2601682638303142</v>
      </c>
      <c r="M190" s="433">
        <f t="shared" si="102"/>
        <v>1.04E-8</v>
      </c>
      <c r="N190" s="178">
        <f t="shared" si="103"/>
        <v>-7.9829666607012193</v>
      </c>
      <c r="O190" s="58" t="s">
        <v>33</v>
      </c>
      <c r="P190" s="600" t="s">
        <v>511</v>
      </c>
      <c r="Q190" s="100">
        <f>VLOOKUP(P190,References!$B$7:$F$252,5,FALSE)</f>
        <v>36</v>
      </c>
    </row>
    <row r="191" spans="1:17" x14ac:dyDescent="0.2">
      <c r="A191" s="868"/>
      <c r="B191" s="869"/>
      <c r="C191" s="832"/>
      <c r="D191" s="832"/>
      <c r="E191" s="145" t="s">
        <v>267</v>
      </c>
      <c r="F191" s="58" t="s">
        <v>268</v>
      </c>
      <c r="G191" s="58">
        <v>528.20000000000005</v>
      </c>
      <c r="H191" s="354">
        <v>8.2399999999999997E-7</v>
      </c>
      <c r="I191" s="58" t="s">
        <v>509</v>
      </c>
      <c r="J191" s="58" t="s">
        <v>512</v>
      </c>
      <c r="K191" s="433">
        <f t="shared" si="101"/>
        <v>0.43523680000000003</v>
      </c>
      <c r="L191" s="178">
        <f t="shared" si="43"/>
        <v>-0.36127439143197893</v>
      </c>
      <c r="M191" s="433">
        <f t="shared" si="102"/>
        <v>8.2399999999999997E-7</v>
      </c>
      <c r="N191" s="178">
        <f t="shared" si="103"/>
        <v>-6.0840727883028842</v>
      </c>
      <c r="O191" s="58" t="s">
        <v>33</v>
      </c>
      <c r="P191" s="600" t="s">
        <v>511</v>
      </c>
      <c r="Q191" s="100">
        <f>VLOOKUP(P191,References!$B$7:$F$252,5,FALSE)</f>
        <v>36</v>
      </c>
    </row>
    <row r="192" spans="1:17" x14ac:dyDescent="0.2">
      <c r="A192" s="879"/>
      <c r="B192" s="851"/>
      <c r="C192" s="834"/>
      <c r="D192" s="834"/>
      <c r="E192" s="239" t="s">
        <v>267</v>
      </c>
      <c r="F192" s="59" t="s">
        <v>268</v>
      </c>
      <c r="G192" s="59">
        <v>528.20000000000005</v>
      </c>
      <c r="H192" s="327">
        <v>6.78E-4</v>
      </c>
      <c r="I192" s="59" t="s">
        <v>509</v>
      </c>
      <c r="J192" s="59" t="s">
        <v>515</v>
      </c>
      <c r="K192" s="469">
        <f t="shared" si="101"/>
        <v>358.11960000000005</v>
      </c>
      <c r="L192" s="183">
        <f>IF(I192="log-mg/L",H192,LOG(K192))</f>
        <v>2.5540280907379684</v>
      </c>
      <c r="M192" s="469">
        <f t="shared" si="102"/>
        <v>6.78E-4</v>
      </c>
      <c r="N192" s="183">
        <f t="shared" si="103"/>
        <v>-3.1687703061329366</v>
      </c>
      <c r="O192" s="59">
        <v>25</v>
      </c>
      <c r="P192" s="598" t="s">
        <v>511</v>
      </c>
      <c r="Q192" s="122">
        <f>VLOOKUP(P192,References!$B$7:$F$252,5,FALSE)</f>
        <v>36</v>
      </c>
    </row>
    <row r="193" spans="1:17" x14ac:dyDescent="0.2">
      <c r="A193" s="186"/>
      <c r="B193" s="833" t="s">
        <v>273</v>
      </c>
      <c r="C193" s="833">
        <v>628.20000000000005</v>
      </c>
      <c r="D193" s="833" t="s">
        <v>275</v>
      </c>
      <c r="E193" s="145" t="s">
        <v>273</v>
      </c>
      <c r="F193" s="58" t="s">
        <v>275</v>
      </c>
      <c r="G193" s="58">
        <v>628.20000000000005</v>
      </c>
      <c r="H193" s="350">
        <v>-5.47</v>
      </c>
      <c r="I193" s="57" t="s">
        <v>521</v>
      </c>
      <c r="J193" s="57" t="s">
        <v>522</v>
      </c>
      <c r="K193" s="433">
        <f t="shared" si="101"/>
        <v>2.1286189888664686</v>
      </c>
      <c r="L193" s="181">
        <f t="shared" ref="L193" si="104">IF(I193="log-mg/L",H193,LOG(K193))</f>
        <v>0.32809793206248561</v>
      </c>
      <c r="M193" s="433">
        <f t="shared" si="102"/>
        <v>3.388441561392022E-6</v>
      </c>
      <c r="N193" s="181">
        <f t="shared" ref="N193" si="105">IF(I193="log-mol/L",H193,LOG(M193))</f>
        <v>-5.47</v>
      </c>
      <c r="O193" s="57" t="s">
        <v>33</v>
      </c>
      <c r="P193" s="733" t="s">
        <v>523</v>
      </c>
      <c r="Q193" s="121">
        <f>VLOOKUP(P193,References!$B$7:$F$252,5,FALSE)</f>
        <v>127</v>
      </c>
    </row>
    <row r="194" spans="1:17" x14ac:dyDescent="0.2">
      <c r="A194" s="336" t="s">
        <v>272</v>
      </c>
      <c r="B194" s="832"/>
      <c r="C194" s="832"/>
      <c r="D194" s="832"/>
      <c r="E194" s="145" t="s">
        <v>273</v>
      </c>
      <c r="F194" s="58" t="s">
        <v>275</v>
      </c>
      <c r="G194" s="145">
        <v>628.20000000000005</v>
      </c>
      <c r="H194" s="354">
        <v>8.7999999999999998E-5</v>
      </c>
      <c r="I194" s="58" t="s">
        <v>509</v>
      </c>
      <c r="J194" s="58" t="s">
        <v>514</v>
      </c>
      <c r="K194" s="433">
        <f t="shared" si="101"/>
        <v>55.281599999999997</v>
      </c>
      <c r="L194" s="178">
        <f>IF(I194="log-mg/L",H194,LOG(K194))</f>
        <v>1.7425806042126546</v>
      </c>
      <c r="M194" s="433">
        <f t="shared" si="102"/>
        <v>8.7999999999999998E-5</v>
      </c>
      <c r="N194" s="178">
        <f>IF(I194="log-mol/L",H194,LOG(M194))</f>
        <v>-4.0555173278498318</v>
      </c>
      <c r="O194" s="58" t="s">
        <v>33</v>
      </c>
      <c r="P194" s="600" t="s">
        <v>511</v>
      </c>
      <c r="Q194" s="100">
        <f>VLOOKUP(P194,References!$B$7:$F$252,5,FALSE)</f>
        <v>36</v>
      </c>
    </row>
    <row r="195" spans="1:17" ht="17" thickBot="1" x14ac:dyDescent="0.25">
      <c r="A195" s="336"/>
      <c r="B195" s="832"/>
      <c r="C195" s="832"/>
      <c r="D195" s="832"/>
      <c r="E195" s="145" t="s">
        <v>273</v>
      </c>
      <c r="F195" s="58" t="s">
        <v>275</v>
      </c>
      <c r="G195" s="145">
        <v>628.20000000000005</v>
      </c>
      <c r="H195" s="354">
        <v>5.5899999999999997E-5</v>
      </c>
      <c r="I195" s="58" t="s">
        <v>509</v>
      </c>
      <c r="J195" s="58" t="s">
        <v>515</v>
      </c>
      <c r="K195" s="433">
        <f t="shared" si="101"/>
        <v>35.116379999999999</v>
      </c>
      <c r="L195" s="178">
        <f>IF(I195="log-mg/L",H195,LOG(K195))</f>
        <v>1.5455097399489093</v>
      </c>
      <c r="M195" s="433">
        <f t="shared" si="102"/>
        <v>5.5899999999999997E-5</v>
      </c>
      <c r="N195" s="178">
        <f>IF(I195="log-mol/L",H195,LOG(M195))</f>
        <v>-4.2525881921135769</v>
      </c>
      <c r="O195" s="58">
        <v>25</v>
      </c>
      <c r="P195" s="600" t="s">
        <v>511</v>
      </c>
      <c r="Q195" s="100">
        <f>VLOOKUP(P195,References!$B$7:$F$252,5,FALSE)</f>
        <v>36</v>
      </c>
    </row>
    <row r="196" spans="1:17" ht="17" thickBot="1" x14ac:dyDescent="0.25">
      <c r="A196" s="78" t="s">
        <v>276</v>
      </c>
      <c r="B196" s="158" t="s">
        <v>277</v>
      </c>
      <c r="C196" s="82"/>
      <c r="D196" s="82"/>
      <c r="E196" s="79"/>
      <c r="F196" s="175"/>
      <c r="G196" s="175"/>
      <c r="H196" s="175"/>
      <c r="I196" s="175"/>
      <c r="J196" s="175"/>
      <c r="K196" s="594"/>
      <c r="L196" s="276"/>
      <c r="M196" s="594"/>
      <c r="N196" s="276"/>
      <c r="O196" s="175"/>
      <c r="P196" s="277"/>
      <c r="Q196" s="278"/>
    </row>
    <row r="197" spans="1:17" x14ac:dyDescent="0.2">
      <c r="A197" s="830" t="s">
        <v>278</v>
      </c>
      <c r="B197" s="832" t="s">
        <v>279</v>
      </c>
      <c r="C197" s="832">
        <v>299.10000000000002</v>
      </c>
      <c r="D197" s="832" t="s">
        <v>280</v>
      </c>
      <c r="E197" s="58" t="s">
        <v>534</v>
      </c>
      <c r="F197" s="134" t="s">
        <v>280</v>
      </c>
      <c r="G197" s="134">
        <v>299.10000000000002</v>
      </c>
      <c r="H197" s="134">
        <v>7759</v>
      </c>
      <c r="I197" s="134" t="s">
        <v>507</v>
      </c>
      <c r="J197" s="134" t="s">
        <v>27</v>
      </c>
      <c r="K197" s="433">
        <f>IF(I197="mg/L",H197,IF(I197="log-mg/L",10^H197,IF(I197="g/L",H197*1000,IF(I197="ug/L",H197/1000,IF(I197="ng/mL",H197/1000,IF(I197="mol/L",H197*G197*1000,IF(I197="log-mol/L",(10^(H197))*G197*1000)))))))</f>
        <v>7759</v>
      </c>
      <c r="L197" s="178">
        <f t="shared" ref="L197" si="106">IF(I197="log-mg/L",H197,LOG(K197))</f>
        <v>3.8898057518680855</v>
      </c>
      <c r="M197" s="433">
        <f>IF(I197="mol/L",H197,(K197/1000)/G197)</f>
        <v>2.5941156803744567E-2</v>
      </c>
      <c r="N197" s="178">
        <f t="shared" ref="N197" si="107">IF(I197="log-mol/L",H197,LOG(M197))</f>
        <v>-1.5860106611632327</v>
      </c>
      <c r="O197" s="134">
        <v>23</v>
      </c>
      <c r="P197" s="194" t="s">
        <v>47</v>
      </c>
      <c r="Q197" s="100">
        <f>VLOOKUP(P197,References!$B$7:$F$252,5,FALSE)</f>
        <v>3</v>
      </c>
    </row>
    <row r="198" spans="1:17" x14ac:dyDescent="0.2">
      <c r="A198" s="830"/>
      <c r="B198" s="832"/>
      <c r="C198" s="832"/>
      <c r="D198" s="832"/>
      <c r="E198" s="58" t="s">
        <v>534</v>
      </c>
      <c r="F198" s="134" t="s">
        <v>280</v>
      </c>
      <c r="G198" s="134">
        <v>299.10000000000002</v>
      </c>
      <c r="H198" s="134">
        <v>434</v>
      </c>
      <c r="I198" s="134" t="s">
        <v>507</v>
      </c>
      <c r="J198" s="134" t="s">
        <v>27</v>
      </c>
      <c r="K198" s="433">
        <f t="shared" ref="K198:K209" si="108">IF(I198="mg/L",H198,IF(I198="log-mg/L",10^H198,IF(I198="g/L",H198*1000,IF(I198="ug/L",H198/1000,IF(I198="ng/mL",H198/1000,IF(I198="mol/L",H198*G198*1000,IF(I198="log-mol/L",(10^(H198))*G198*1000)))))))</f>
        <v>434</v>
      </c>
      <c r="L198" s="178">
        <f t="shared" ref="L198:L209" si="109">IF(I198="log-mg/L",H198,LOG(K198))</f>
        <v>2.6374897295125108</v>
      </c>
      <c r="M198" s="433">
        <f t="shared" ref="M198:M209" si="110">IF(I198="mol/L",H198,(K198/1000)/G198)</f>
        <v>1.4510197258441992E-3</v>
      </c>
      <c r="N198" s="178">
        <f t="shared" ref="N198:N209" si="111">IF(I198="log-mol/L",H198,LOG(M198))</f>
        <v>-2.8383266835188077</v>
      </c>
      <c r="O198" s="134">
        <v>10</v>
      </c>
      <c r="P198" s="194" t="s">
        <v>47</v>
      </c>
      <c r="Q198" s="100">
        <f>VLOOKUP(P198,References!$B$7:$F$252,5,FALSE)</f>
        <v>3</v>
      </c>
    </row>
    <row r="199" spans="1:17" x14ac:dyDescent="0.2">
      <c r="A199" s="830"/>
      <c r="B199" s="832"/>
      <c r="C199" s="832"/>
      <c r="D199" s="832"/>
      <c r="E199" s="58" t="s">
        <v>534</v>
      </c>
      <c r="F199" s="134" t="s">
        <v>280</v>
      </c>
      <c r="G199" s="134">
        <v>299.10000000000002</v>
      </c>
      <c r="H199" s="134">
        <v>554</v>
      </c>
      <c r="I199" s="134" t="s">
        <v>507</v>
      </c>
      <c r="J199" s="134" t="s">
        <v>27</v>
      </c>
      <c r="K199" s="433">
        <f t="shared" si="108"/>
        <v>554</v>
      </c>
      <c r="L199" s="178">
        <f t="shared" si="109"/>
        <v>2.7435097647284299</v>
      </c>
      <c r="M199" s="433">
        <f t="shared" si="110"/>
        <v>1.8522233366766968E-3</v>
      </c>
      <c r="N199" s="178">
        <f t="shared" si="111"/>
        <v>-2.7323066483028886</v>
      </c>
      <c r="O199" s="134">
        <v>20</v>
      </c>
      <c r="P199" s="194" t="s">
        <v>47</v>
      </c>
      <c r="Q199" s="100">
        <f>VLOOKUP(P199,References!$B$7:$F$252,5,FALSE)</f>
        <v>3</v>
      </c>
    </row>
    <row r="200" spans="1:17" x14ac:dyDescent="0.2">
      <c r="A200" s="830"/>
      <c r="B200" s="832"/>
      <c r="C200" s="832"/>
      <c r="D200" s="832"/>
      <c r="E200" s="58" t="s">
        <v>534</v>
      </c>
      <c r="F200" s="134" t="s">
        <v>280</v>
      </c>
      <c r="G200" s="134">
        <v>299.10000000000002</v>
      </c>
      <c r="H200" s="134">
        <v>359</v>
      </c>
      <c r="I200" s="134" t="s">
        <v>507</v>
      </c>
      <c r="J200" s="134" t="s">
        <v>27</v>
      </c>
      <c r="K200" s="433">
        <f t="shared" si="108"/>
        <v>359</v>
      </c>
      <c r="L200" s="178">
        <f t="shared" si="109"/>
        <v>2.5550944485783194</v>
      </c>
      <c r="M200" s="433">
        <f t="shared" si="110"/>
        <v>1.2002674690738881E-3</v>
      </c>
      <c r="N200" s="178">
        <f t="shared" si="111"/>
        <v>-2.9207219644529991</v>
      </c>
      <c r="O200" s="134">
        <v>25</v>
      </c>
      <c r="P200" s="194" t="s">
        <v>47</v>
      </c>
      <c r="Q200" s="100">
        <f>VLOOKUP(P200,References!$B$7:$F$252,5,FALSE)</f>
        <v>3</v>
      </c>
    </row>
    <row r="201" spans="1:17" x14ac:dyDescent="0.2">
      <c r="A201" s="830"/>
      <c r="B201" s="832"/>
      <c r="C201" s="832"/>
      <c r="D201" s="832"/>
      <c r="E201" s="58" t="s">
        <v>534</v>
      </c>
      <c r="F201" s="134" t="s">
        <v>280</v>
      </c>
      <c r="G201" s="134">
        <v>299.10000000000002</v>
      </c>
      <c r="H201" s="134">
        <v>1770</v>
      </c>
      <c r="I201" s="134" t="s">
        <v>507</v>
      </c>
      <c r="J201" s="134" t="s">
        <v>27</v>
      </c>
      <c r="K201" s="433">
        <f t="shared" ref="K201:K202" si="112">IF(I201="mg/L",H201,IF(I201="log-mg/L",10^H201,IF(I201="g/L",H201*1000,IF(I201="ug/L",H201/1000,IF(I201="ng/mL",H201/1000,IF(I201="mol/L",H201*G201*1000,IF(I201="log-mol/L",(10^(H201))*G201*1000)))))))</f>
        <v>1770</v>
      </c>
      <c r="L201" s="178">
        <f t="shared" ref="L201:L202" si="113">IF(I201="log-mg/L",H201,LOG(K201))</f>
        <v>3.2479732663618068</v>
      </c>
      <c r="M201" s="433">
        <f t="shared" ref="M201:M202" si="114">IF(I201="mol/L",H201,(K201/1000)/G201)</f>
        <v>5.9177532597793374E-3</v>
      </c>
      <c r="N201" s="178">
        <f t="shared" ref="N201:N202" si="115">IF(I201="log-mol/L",H201,LOG(M201))</f>
        <v>-2.2278431466695117</v>
      </c>
      <c r="O201" s="134">
        <v>41.2</v>
      </c>
      <c r="P201" s="194" t="s">
        <v>47</v>
      </c>
      <c r="Q201" s="100">
        <f>VLOOKUP(P201,References!$B$7:$F$252,5,FALSE)</f>
        <v>3</v>
      </c>
    </row>
    <row r="202" spans="1:17" x14ac:dyDescent="0.2">
      <c r="A202" s="830"/>
      <c r="B202" s="832"/>
      <c r="C202" s="832"/>
      <c r="D202" s="832"/>
      <c r="E202" s="58" t="s">
        <v>534</v>
      </c>
      <c r="F202" s="134" t="s">
        <v>280</v>
      </c>
      <c r="G202" s="134">
        <v>299.10000000000002</v>
      </c>
      <c r="H202" s="134">
        <v>375</v>
      </c>
      <c r="I202" s="134" t="s">
        <v>507</v>
      </c>
      <c r="J202" s="134" t="s">
        <v>27</v>
      </c>
      <c r="K202" s="433">
        <f t="shared" si="112"/>
        <v>375</v>
      </c>
      <c r="L202" s="178">
        <f t="shared" si="113"/>
        <v>2.5740312677277188</v>
      </c>
      <c r="M202" s="433">
        <f t="shared" si="114"/>
        <v>1.2537612838515546E-3</v>
      </c>
      <c r="N202" s="178">
        <f t="shared" si="115"/>
        <v>-2.9017851453035992</v>
      </c>
      <c r="O202" s="134">
        <v>92.6</v>
      </c>
      <c r="P202" s="194" t="s">
        <v>47</v>
      </c>
      <c r="Q202" s="100">
        <f>VLOOKUP(P202,References!$B$7:$F$252,5,FALSE)</f>
        <v>3</v>
      </c>
    </row>
    <row r="203" spans="1:17" x14ac:dyDescent="0.2">
      <c r="A203" s="830"/>
      <c r="B203" s="832"/>
      <c r="C203" s="832"/>
      <c r="D203" s="832"/>
      <c r="E203" s="58" t="s">
        <v>534</v>
      </c>
      <c r="F203" s="134" t="s">
        <v>280</v>
      </c>
      <c r="G203" s="134">
        <v>299.10000000000002</v>
      </c>
      <c r="H203" s="134">
        <v>-1.87</v>
      </c>
      <c r="I203" s="134" t="s">
        <v>521</v>
      </c>
      <c r="J203" s="134" t="s">
        <v>522</v>
      </c>
      <c r="K203" s="433">
        <f t="shared" ref="K203" si="116">IF(I203="mg/L",H203,IF(I203="log-mg/L",10^H203,IF(I203="g/L",H203*1000,IF(I203="ug/L",H203/1000,IF(I203="ng/mL",H203/1000,IF(I203="mol/L",H203*G203*1000,IF(I203="log-mol/L",(10^(H203))*G203*1000)))))))</f>
        <v>4034.7479818316333</v>
      </c>
      <c r="L203" s="178">
        <f t="shared" ref="L203" si="117">IF(I203="log-mg/L",H203,LOG(K203))</f>
        <v>3.6058164130313179</v>
      </c>
      <c r="M203" s="433">
        <f t="shared" ref="M203" si="118">IF(I203="mol/L",H203,(K203/1000)/G203)</f>
        <v>1.3489628825916526E-2</v>
      </c>
      <c r="N203" s="178">
        <f t="shared" ref="N203" si="119">IF(I203="log-mol/L",H203,LOG(M203))</f>
        <v>-1.87</v>
      </c>
      <c r="O203" s="134" t="s">
        <v>33</v>
      </c>
      <c r="P203" s="194" t="s">
        <v>523</v>
      </c>
      <c r="Q203" s="100">
        <f>VLOOKUP(P203,References!$B$7:$F$252,5,FALSE)</f>
        <v>127</v>
      </c>
    </row>
    <row r="204" spans="1:17" x14ac:dyDescent="0.2">
      <c r="A204" s="830"/>
      <c r="B204" s="832"/>
      <c r="C204" s="832"/>
      <c r="D204" s="832"/>
      <c r="E204" s="58" t="s">
        <v>534</v>
      </c>
      <c r="F204" s="134" t="s">
        <v>280</v>
      </c>
      <c r="G204" s="134">
        <v>299.10000000000002</v>
      </c>
      <c r="H204" s="447">
        <v>7.7000000000000008E-6</v>
      </c>
      <c r="I204" s="134" t="s">
        <v>509</v>
      </c>
      <c r="J204" s="134" t="s">
        <v>514</v>
      </c>
      <c r="K204" s="433">
        <f t="shared" si="108"/>
        <v>2.3030700000000004</v>
      </c>
      <c r="L204" s="178">
        <f t="shared" si="109"/>
        <v>0.36230713820380012</v>
      </c>
      <c r="M204" s="433">
        <f t="shared" si="110"/>
        <v>7.7000000000000008E-6</v>
      </c>
      <c r="N204" s="178">
        <f t="shared" si="111"/>
        <v>-5.1135092748275177</v>
      </c>
      <c r="O204" s="134" t="s">
        <v>33</v>
      </c>
      <c r="P204" s="600" t="s">
        <v>511</v>
      </c>
      <c r="Q204" s="100">
        <f>VLOOKUP(P204,References!$B$7:$F$252,5,FALSE)</f>
        <v>36</v>
      </c>
    </row>
    <row r="205" spans="1:17" x14ac:dyDescent="0.2">
      <c r="A205" s="847"/>
      <c r="B205" s="834"/>
      <c r="C205" s="834"/>
      <c r="D205" s="834"/>
      <c r="E205" s="59" t="s">
        <v>534</v>
      </c>
      <c r="F205" s="195" t="s">
        <v>280</v>
      </c>
      <c r="G205" s="195">
        <v>299.10000000000002</v>
      </c>
      <c r="H205" s="448">
        <v>5.8900000000000003E-3</v>
      </c>
      <c r="I205" s="195" t="s">
        <v>509</v>
      </c>
      <c r="J205" s="195" t="s">
        <v>515</v>
      </c>
      <c r="K205" s="469">
        <f t="shared" si="108"/>
        <v>1761.6990000000001</v>
      </c>
      <c r="L205" s="183">
        <f t="shared" si="109"/>
        <v>3.24593170781842</v>
      </c>
      <c r="M205" s="469">
        <f t="shared" si="110"/>
        <v>5.8900000000000003E-3</v>
      </c>
      <c r="N205" s="183">
        <f t="shared" si="111"/>
        <v>-2.2298847052128985</v>
      </c>
      <c r="O205" s="195">
        <v>25</v>
      </c>
      <c r="P205" s="598" t="s">
        <v>511</v>
      </c>
      <c r="Q205" s="122">
        <f>VLOOKUP(P205,References!$B$7:$F$252,5,FALSE)</f>
        <v>36</v>
      </c>
    </row>
    <row r="206" spans="1:17" x14ac:dyDescent="0.2">
      <c r="A206" s="849" t="s">
        <v>283</v>
      </c>
      <c r="B206" s="833" t="s">
        <v>284</v>
      </c>
      <c r="C206" s="833">
        <v>399.1</v>
      </c>
      <c r="D206" s="833" t="s">
        <v>285</v>
      </c>
      <c r="E206" s="57" t="s">
        <v>535</v>
      </c>
      <c r="F206" s="200" t="s">
        <v>285</v>
      </c>
      <c r="G206" s="200">
        <v>399.1</v>
      </c>
      <c r="H206" s="58">
        <v>-3.36</v>
      </c>
      <c r="I206" s="134" t="s">
        <v>521</v>
      </c>
      <c r="J206" s="134" t="s">
        <v>522</v>
      </c>
      <c r="K206" s="433">
        <f t="shared" si="108"/>
        <v>174.21346864705012</v>
      </c>
      <c r="L206" s="180">
        <f t="shared" si="109"/>
        <v>2.2410817277840231</v>
      </c>
      <c r="M206" s="433">
        <f t="shared" si="110"/>
        <v>4.3651583224016562E-4</v>
      </c>
      <c r="N206" s="180">
        <f t="shared" si="111"/>
        <v>-3.36</v>
      </c>
      <c r="O206" s="134" t="s">
        <v>33</v>
      </c>
      <c r="P206" s="194" t="s">
        <v>523</v>
      </c>
      <c r="Q206" s="100">
        <f>VLOOKUP(P206,References!$B$7:$F$252,5,FALSE)</f>
        <v>127</v>
      </c>
    </row>
    <row r="207" spans="1:17" x14ac:dyDescent="0.2">
      <c r="A207" s="830"/>
      <c r="B207" s="832"/>
      <c r="C207" s="832"/>
      <c r="D207" s="832"/>
      <c r="E207" s="58" t="s">
        <v>535</v>
      </c>
      <c r="F207" s="134" t="s">
        <v>285</v>
      </c>
      <c r="G207" s="134">
        <v>399.1</v>
      </c>
      <c r="H207" s="447">
        <v>5.9999999999999995E-8</v>
      </c>
      <c r="I207" s="134" t="s">
        <v>509</v>
      </c>
      <c r="J207" s="134" t="s">
        <v>514</v>
      </c>
      <c r="K207" s="433">
        <f t="shared" ref="K207" si="120">IF(I207="mg/L",H207,IF(I207="log-mg/L",10^H207,IF(I207="g/L",H207*1000,IF(I207="ug/L",H207/1000,IF(I207="ng/mL",H207/1000,IF(I207="mol/L",H207*G207*1000,IF(I207="log-mol/L",(10^(H207))*G207*1000)))))))</f>
        <v>2.3946000000000002E-2</v>
      </c>
      <c r="L207" s="180">
        <f t="shared" ref="L207" si="121">IF(I207="log-mg/L",H207,LOG(K207))</f>
        <v>-1.6207670218323331</v>
      </c>
      <c r="M207" s="433">
        <f t="shared" ref="M207" si="122">IF(I207="mol/L",H207,(K207/1000)/G207)</f>
        <v>5.9999999999999995E-8</v>
      </c>
      <c r="N207" s="180">
        <f t="shared" ref="N207" si="123">IF(I207="log-mol/L",H207,LOG(M207))</f>
        <v>-7.2218487496163561</v>
      </c>
      <c r="O207" s="134" t="s">
        <v>33</v>
      </c>
      <c r="P207" s="194" t="s">
        <v>511</v>
      </c>
      <c r="Q207" s="100">
        <f>VLOOKUP(P207,References!$B$7:$F$252,5,FALSE)</f>
        <v>36</v>
      </c>
    </row>
    <row r="208" spans="1:17" x14ac:dyDescent="0.2">
      <c r="A208" s="830"/>
      <c r="B208" s="832"/>
      <c r="C208" s="832"/>
      <c r="D208" s="832"/>
      <c r="E208" s="58" t="s">
        <v>535</v>
      </c>
      <c r="F208" s="134" t="s">
        <v>285</v>
      </c>
      <c r="G208" s="134">
        <v>399.1</v>
      </c>
      <c r="H208" s="447">
        <v>1.1600000000000001E-5</v>
      </c>
      <c r="I208" s="134" t="s">
        <v>509</v>
      </c>
      <c r="J208" s="134" t="s">
        <v>512</v>
      </c>
      <c r="K208" s="433">
        <f t="shared" si="108"/>
        <v>4.6295600000000006</v>
      </c>
      <c r="L208" s="180">
        <f t="shared" si="109"/>
        <v>0.66553971701094183</v>
      </c>
      <c r="M208" s="433">
        <f t="shared" si="110"/>
        <v>1.1600000000000001E-5</v>
      </c>
      <c r="N208" s="180">
        <f t="shared" si="111"/>
        <v>-4.9355420107730819</v>
      </c>
      <c r="O208" s="134" t="s">
        <v>33</v>
      </c>
      <c r="P208" s="600" t="s">
        <v>511</v>
      </c>
      <c r="Q208" s="100">
        <f>VLOOKUP(P208,References!$B$7:$F$252,5,FALSE)</f>
        <v>36</v>
      </c>
    </row>
    <row r="209" spans="1:17" x14ac:dyDescent="0.2">
      <c r="A209" s="847"/>
      <c r="B209" s="834"/>
      <c r="C209" s="834"/>
      <c r="D209" s="834"/>
      <c r="E209" s="59" t="s">
        <v>535</v>
      </c>
      <c r="F209" s="195" t="s">
        <v>285</v>
      </c>
      <c r="G209" s="195">
        <v>399.1</v>
      </c>
      <c r="H209" s="448">
        <v>2.6699999999999998E-4</v>
      </c>
      <c r="I209" s="195" t="s">
        <v>509</v>
      </c>
      <c r="J209" s="195" t="s">
        <v>515</v>
      </c>
      <c r="K209" s="469">
        <f t="shared" si="108"/>
        <v>106.55969999999999</v>
      </c>
      <c r="L209" s="337">
        <f t="shared" si="109"/>
        <v>2.0275929891485984</v>
      </c>
      <c r="M209" s="469">
        <f t="shared" si="110"/>
        <v>2.6699999999999998E-4</v>
      </c>
      <c r="N209" s="337">
        <f t="shared" si="111"/>
        <v>-3.5734887386354246</v>
      </c>
      <c r="O209" s="195">
        <v>25</v>
      </c>
      <c r="P209" s="598" t="s">
        <v>511</v>
      </c>
      <c r="Q209" s="122">
        <f>VLOOKUP(P209,References!$B$7:$F$252,5,FALSE)</f>
        <v>36</v>
      </c>
    </row>
    <row r="210" spans="1:17" x14ac:dyDescent="0.2">
      <c r="A210" s="868" t="s">
        <v>290</v>
      </c>
      <c r="B210" s="869" t="s">
        <v>291</v>
      </c>
      <c r="C210" s="832">
        <v>499.1</v>
      </c>
      <c r="D210" s="832" t="s">
        <v>293</v>
      </c>
      <c r="E210" s="58" t="s">
        <v>291</v>
      </c>
      <c r="F210" s="58" t="s">
        <v>293</v>
      </c>
      <c r="G210" s="58">
        <v>499.1</v>
      </c>
      <c r="H210" s="58">
        <v>-0.62</v>
      </c>
      <c r="I210" s="58" t="s">
        <v>518</v>
      </c>
      <c r="J210" s="58" t="s">
        <v>519</v>
      </c>
      <c r="K210" s="433">
        <f>IF(I210="mg/L",H210,IF(I210="log-mg/L",10^H210,IF(I210="g/L",H210*1000,IF(I210="ug/L",H210/1000,IF(I210="ng/mL",H210/1000,IF(I210="mol/L",H210*G210*1000,IF(I210="log-mol/L",(10^(H210))*G210*1000)))))))</f>
        <v>0.23988329190194901</v>
      </c>
      <c r="L210" s="178">
        <f t="shared" ref="L210:L229" si="124">IF(I210="log-mg/L",H210,LOG(K210))</f>
        <v>-0.62</v>
      </c>
      <c r="M210" s="433">
        <f>IF(I210="mol/L",H210,(K210/1000)/G210)</f>
        <v>4.8063172090152075E-7</v>
      </c>
      <c r="N210" s="178">
        <f t="shared" ref="N210:N229" si="125">IF(I210="log-mol/L",H210,LOG(M210))</f>
        <v>-6.3181875698661223</v>
      </c>
      <c r="O210" s="58">
        <v>25</v>
      </c>
      <c r="P210" s="600" t="s">
        <v>520</v>
      </c>
      <c r="Q210" s="100">
        <f>VLOOKUP(P210,References!$B$7:$F$252,5,FALSE)</f>
        <v>14</v>
      </c>
    </row>
    <row r="211" spans="1:17" x14ac:dyDescent="0.2">
      <c r="A211" s="868"/>
      <c r="B211" s="869"/>
      <c r="C211" s="832"/>
      <c r="D211" s="832"/>
      <c r="E211" s="58" t="s">
        <v>291</v>
      </c>
      <c r="F211" s="58" t="s">
        <v>293</v>
      </c>
      <c r="G211" s="58">
        <v>499.1</v>
      </c>
      <c r="H211" s="58">
        <v>-5.05</v>
      </c>
      <c r="I211" s="58" t="s">
        <v>521</v>
      </c>
      <c r="J211" s="58" t="s">
        <v>522</v>
      </c>
      <c r="K211" s="433">
        <f>IF(I211="mg/L",H211,IF(I211="log-mg/L",10^H211,IF(I211="g/L",H211*1000,IF(I211="ug/L",H211/1000,IF(I211="ng/mL",H211/1000,IF(I211="mol/L",H211*G217*1000,IF(I211="log-mol/L",(10^(H211))*G217*1000)))))))</f>
        <v>4.4482334322255177</v>
      </c>
      <c r="L211" s="178">
        <f>IF(I211="log-mg/L",H211,LOG(K211))</f>
        <v>0.6481875698661218</v>
      </c>
      <c r="M211" s="433">
        <f>IF(I211="mol/L",H211,(K211/1000)/G217)</f>
        <v>8.9125093813374425E-6</v>
      </c>
      <c r="N211" s="178">
        <f>IF(I211="log-mol/L",H211,LOG(M211))</f>
        <v>-5.05</v>
      </c>
      <c r="O211" s="58" t="s">
        <v>33</v>
      </c>
      <c r="P211" s="600" t="s">
        <v>523</v>
      </c>
      <c r="Q211" s="100">
        <f>VLOOKUP(P211,References!$B$7:$F$252,5,FALSE)</f>
        <v>127</v>
      </c>
    </row>
    <row r="212" spans="1:17" x14ac:dyDescent="0.2">
      <c r="A212" s="868"/>
      <c r="B212" s="869"/>
      <c r="C212" s="832"/>
      <c r="D212" s="832"/>
      <c r="E212" s="58" t="s">
        <v>291</v>
      </c>
      <c r="F212" s="58" t="s">
        <v>293</v>
      </c>
      <c r="G212" s="58">
        <v>499.1</v>
      </c>
      <c r="H212" s="58">
        <v>-4.99</v>
      </c>
      <c r="I212" s="58" t="s">
        <v>521</v>
      </c>
      <c r="J212" s="58" t="s">
        <v>524</v>
      </c>
      <c r="K212" s="433">
        <f>IF(I212="mg/L",H212,IF(I212="log-mg/L",10^H212,IF(I212="g/L",H212*1000,IF(I212="ug/L",H212/1000,IF(I212="ng/mL",H212/1000,IF(I212="mol/L",H212*G211*1000,IF(I212="log-mol/L",(10^(H212))*G211*1000)))))))</f>
        <v>5.1072553244732335</v>
      </c>
      <c r="L212" s="178">
        <f t="shared" ref="L212" si="126">IF(I212="log-mg/L",H212,LOG(K212))</f>
        <v>0.70818756986612152</v>
      </c>
      <c r="M212" s="433">
        <f>IF(I212="mol/L",H212,(K212/1000)/G211)</f>
        <v>1.0232929922807521E-5</v>
      </c>
      <c r="N212" s="178">
        <f t="shared" ref="N212" si="127">IF(I212="log-mol/L",H212,LOG(M212))</f>
        <v>-4.99</v>
      </c>
      <c r="O212" s="58">
        <v>25</v>
      </c>
      <c r="P212" s="600" t="s">
        <v>525</v>
      </c>
      <c r="Q212" s="100">
        <f>VLOOKUP(P212,References!$B$7:$F$252,5,FALSE)</f>
        <v>61</v>
      </c>
    </row>
    <row r="213" spans="1:17" x14ac:dyDescent="0.2">
      <c r="A213" s="868"/>
      <c r="B213" s="869"/>
      <c r="C213" s="832"/>
      <c r="D213" s="832"/>
      <c r="E213" s="58" t="s">
        <v>291</v>
      </c>
      <c r="F213" s="58" t="s">
        <v>293</v>
      </c>
      <c r="G213" s="58">
        <v>499.1</v>
      </c>
      <c r="H213" s="58">
        <v>30.2</v>
      </c>
      <c r="I213" s="58" t="s">
        <v>507</v>
      </c>
      <c r="J213" s="58" t="s">
        <v>27</v>
      </c>
      <c r="K213" s="433">
        <f>IF(I213="mg/L",H213,IF(I213="log-mg/L",10^H213,IF(I213="g/L",H213*1000,IF(I213="ug/L",H213/1000,IF(I213="ng/mL",H213/1000,IF(I213="mol/L",H213*G212*1000,IF(I213="log-mol/L",(10^(H213))*G212*1000)))))))</f>
        <v>30.2</v>
      </c>
      <c r="L213" s="178">
        <f t="shared" ref="L213" si="128">IF(I213="log-mg/L",H213,LOG(K213))</f>
        <v>1.4800069429571505</v>
      </c>
      <c r="M213" s="433">
        <f>IF(I213="mol/L",H213,(K213/1000)/G212)</f>
        <v>6.0508916048887994E-5</v>
      </c>
      <c r="N213" s="178">
        <f t="shared" ref="N213" si="129">IF(I213="log-mol/L",H213,LOG(M213))</f>
        <v>-4.2181806269089721</v>
      </c>
      <c r="O213" s="58">
        <v>25</v>
      </c>
      <c r="P213" s="194" t="s">
        <v>47</v>
      </c>
      <c r="Q213" s="100">
        <f>VLOOKUP(P213,References!$B$7:$F$252,5,FALSE)</f>
        <v>3</v>
      </c>
    </row>
    <row r="214" spans="1:17" x14ac:dyDescent="0.2">
      <c r="A214" s="868"/>
      <c r="B214" s="869"/>
      <c r="C214" s="832"/>
      <c r="D214" s="832"/>
      <c r="E214" s="58" t="s">
        <v>291</v>
      </c>
      <c r="F214" s="58" t="s">
        <v>293</v>
      </c>
      <c r="G214" s="58">
        <v>499.1</v>
      </c>
      <c r="H214" s="354">
        <v>4.8499999999999998E-10</v>
      </c>
      <c r="I214" s="58" t="s">
        <v>509</v>
      </c>
      <c r="J214" s="58" t="s">
        <v>513</v>
      </c>
      <c r="K214" s="433">
        <f>IF(I214="mg/L",H214,IF(I214="log-mg/L",10^H214,IF(I214="g/L",H214*1000,IF(I214="ug/L",H214/1000,IF(I214="ng/mL",H214/1000,IF(I214="mol/L",H214*G212*1000,IF(I214="log-mol/L",(10^(H214))*G212*1000)))))))</f>
        <v>2.4206349999999997E-4</v>
      </c>
      <c r="L214" s="178">
        <f t="shared" si="124"/>
        <v>-3.6160706915316139</v>
      </c>
      <c r="M214" s="433">
        <f>IF(I214="mol/L",H214,(K214/1000)/G212)</f>
        <v>4.8499999999999998E-10</v>
      </c>
      <c r="N214" s="178">
        <f t="shared" si="125"/>
        <v>-9.314258261397736</v>
      </c>
      <c r="O214" s="58" t="s">
        <v>33</v>
      </c>
      <c r="P214" s="600" t="s">
        <v>511</v>
      </c>
      <c r="Q214" s="100">
        <f>VLOOKUP(P214,References!$B$7:$F$252,5,FALSE)</f>
        <v>36</v>
      </c>
    </row>
    <row r="215" spans="1:17" x14ac:dyDescent="0.2">
      <c r="A215" s="868"/>
      <c r="B215" s="869"/>
      <c r="C215" s="832"/>
      <c r="D215" s="832"/>
      <c r="E215" s="58" t="s">
        <v>291</v>
      </c>
      <c r="F215" s="58" t="s">
        <v>293</v>
      </c>
      <c r="G215" s="58">
        <v>499.1</v>
      </c>
      <c r="H215" s="354">
        <v>1.8899999999999999E-6</v>
      </c>
      <c r="I215" s="58" t="s">
        <v>509</v>
      </c>
      <c r="J215" s="58" t="s">
        <v>512</v>
      </c>
      <c r="K215" s="433">
        <f>IF(I215="mg/L",H215,IF(I215="log-mg/L",10^H215,IF(I215="g/L",H215*1000,IF(I215="ug/L",H215/1000,IF(I215="ng/mL",H215/1000,IF(I215="mol/L",H215*G214*1000,IF(I215="log-mol/L",(10^(H215))*G214*1000)))))))</f>
        <v>0.943299</v>
      </c>
      <c r="L215" s="178">
        <f t="shared" si="124"/>
        <v>-2.535062596063347E-2</v>
      </c>
      <c r="M215" s="433">
        <f>IF(I215="mol/L",H215,(K215/1000)/G214)</f>
        <v>1.8899999999999999E-6</v>
      </c>
      <c r="N215" s="178">
        <f t="shared" si="125"/>
        <v>-5.7235381958267562</v>
      </c>
      <c r="O215" s="58" t="s">
        <v>33</v>
      </c>
      <c r="P215" s="600" t="s">
        <v>511</v>
      </c>
      <c r="Q215" s="100">
        <f>VLOOKUP(P215,References!$B$7:$F$252,5,FALSE)</f>
        <v>36</v>
      </c>
    </row>
    <row r="216" spans="1:17" x14ac:dyDescent="0.2">
      <c r="A216" s="868"/>
      <c r="B216" s="869"/>
      <c r="C216" s="832"/>
      <c r="D216" s="832"/>
      <c r="E216" s="58" t="s">
        <v>291</v>
      </c>
      <c r="F216" s="58" t="s">
        <v>293</v>
      </c>
      <c r="G216" s="58">
        <v>499.1</v>
      </c>
      <c r="H216" s="58">
        <v>2.4E-10</v>
      </c>
      <c r="I216" s="58" t="s">
        <v>509</v>
      </c>
      <c r="J216" s="58" t="s">
        <v>514</v>
      </c>
      <c r="K216" s="433">
        <f>IF(I216="mg/L",H216,IF(I216="log-mg/L",10^H216,IF(I216="g/L",H216*1000,IF(I216="ug/L",H216/1000,IF(I216="ng/mL",H216/1000,IF(I216="mol/L",H216*G215*1000,IF(I216="log-mol/L",(10^(H216))*G215*1000)))))))</f>
        <v>1.19784E-4</v>
      </c>
      <c r="L216" s="178">
        <f t="shared" si="124"/>
        <v>-3.9216011884222715</v>
      </c>
      <c r="M216" s="433">
        <f>IF(I216="mol/L",H216,(K216/1000)/G215)</f>
        <v>2.4E-10</v>
      </c>
      <c r="N216" s="178">
        <f t="shared" si="125"/>
        <v>-9.6197887582883936</v>
      </c>
      <c r="O216" s="58" t="s">
        <v>33</v>
      </c>
      <c r="P216" s="600" t="s">
        <v>511</v>
      </c>
      <c r="Q216" s="100">
        <f>VLOOKUP(P216,References!$B$7:$F$252,5,FALSE)</f>
        <v>36</v>
      </c>
    </row>
    <row r="217" spans="1:17" x14ac:dyDescent="0.2">
      <c r="A217" s="879"/>
      <c r="B217" s="851"/>
      <c r="C217" s="834"/>
      <c r="D217" s="834"/>
      <c r="E217" s="59" t="s">
        <v>291</v>
      </c>
      <c r="F217" s="59" t="s">
        <v>293</v>
      </c>
      <c r="G217" s="59">
        <v>499.1</v>
      </c>
      <c r="H217" s="327">
        <v>7.8100000000000002E-7</v>
      </c>
      <c r="I217" s="59" t="s">
        <v>509</v>
      </c>
      <c r="J217" s="59" t="s">
        <v>515</v>
      </c>
      <c r="K217" s="469">
        <f>IF(I217="mg/L",H217,IF(I217="log-mg/L",10^H217,IF(I217="g/L",H217*1000,IF(I217="ug/L",H217/1000,IF(I217="ng/mL",H217/1000,IF(I217="mol/L",H217*G216*1000,IF(I217="log-mol/L",(10^(H217))*G216*1000)))))))</f>
        <v>0.38979710000000001</v>
      </c>
      <c r="L217" s="183">
        <f t="shared" si="124"/>
        <v>-0.40916139625657727</v>
      </c>
      <c r="M217" s="469">
        <f>IF(I217="mol/L",H217,(K217/1000)/G216)</f>
        <v>7.8100000000000002E-7</v>
      </c>
      <c r="N217" s="183">
        <f t="shared" si="125"/>
        <v>-6.1073489661227001</v>
      </c>
      <c r="O217" s="59">
        <v>25</v>
      </c>
      <c r="P217" s="598" t="s">
        <v>511</v>
      </c>
      <c r="Q217" s="122">
        <f>VLOOKUP(P217,References!$B$7:$F$252,5,FALSE)</f>
        <v>36</v>
      </c>
    </row>
    <row r="218" spans="1:17" x14ac:dyDescent="0.2">
      <c r="A218" s="868" t="s">
        <v>298</v>
      </c>
      <c r="B218" s="869" t="s">
        <v>299</v>
      </c>
      <c r="C218" s="832">
        <v>513.20000000000005</v>
      </c>
      <c r="D218" s="832" t="s">
        <v>301</v>
      </c>
      <c r="E218" s="58" t="s">
        <v>299</v>
      </c>
      <c r="F218" s="58" t="s">
        <v>301</v>
      </c>
      <c r="G218" s="58">
        <v>513.20000000000005</v>
      </c>
      <c r="H218" s="58">
        <v>-6.35</v>
      </c>
      <c r="I218" s="58" t="s">
        <v>521</v>
      </c>
      <c r="J218" s="58" t="s">
        <v>522</v>
      </c>
      <c r="K218" s="433">
        <f t="shared" ref="K218:K229" si="130">IF(I218="mg/L",H218,IF(I218="log-mg/L",10^H218,IF(I218="g/L",H218*1000,IF(I218="ug/L",H218/1000,IF(I218="ng/mL",H218/1000,IF(I218="mol/L",H218*G218*1000,IF(I218="log-mol/L",(10^(H218))*G218*1000)))))))</f>
        <v>0.22923801949187439</v>
      </c>
      <c r="L218" s="178">
        <f t="shared" si="124"/>
        <v>-0.63971335229710891</v>
      </c>
      <c r="M218" s="433">
        <f t="shared" ref="M218:M229" si="131">IF(I218="mol/L",H218,(K218/1000)/G218)</f>
        <v>4.4668359215096327E-7</v>
      </c>
      <c r="N218" s="178">
        <f t="shared" si="125"/>
        <v>-6.35</v>
      </c>
      <c r="O218" s="58" t="s">
        <v>33</v>
      </c>
      <c r="P218" s="600" t="s">
        <v>523</v>
      </c>
      <c r="Q218" s="100">
        <f>VLOOKUP(P218,References!$B$7:$F$252,5,FALSE)</f>
        <v>127</v>
      </c>
    </row>
    <row r="219" spans="1:17" x14ac:dyDescent="0.2">
      <c r="A219" s="868"/>
      <c r="B219" s="869"/>
      <c r="C219" s="832"/>
      <c r="D219" s="832"/>
      <c r="E219" s="58" t="s">
        <v>299</v>
      </c>
      <c r="F219" s="58" t="s">
        <v>301</v>
      </c>
      <c r="G219" s="58">
        <v>513.20000000000005</v>
      </c>
      <c r="H219" s="58">
        <v>-5.61</v>
      </c>
      <c r="I219" s="58" t="s">
        <v>521</v>
      </c>
      <c r="J219" s="58" t="s">
        <v>524</v>
      </c>
      <c r="K219" s="433">
        <f t="shared" si="130"/>
        <v>1.2597566155295559</v>
      </c>
      <c r="L219" s="178">
        <f t="shared" ref="L219" si="132">IF(I219="log-mg/L",H219,LOG(K219))</f>
        <v>0.10028664770289031</v>
      </c>
      <c r="M219" s="433">
        <f t="shared" si="131"/>
        <v>2.4547089156850267E-6</v>
      </c>
      <c r="N219" s="178">
        <f t="shared" ref="N219" si="133">IF(I219="log-mol/L",H219,LOG(M219))</f>
        <v>-5.61</v>
      </c>
      <c r="O219" s="58">
        <v>25</v>
      </c>
      <c r="P219" s="600" t="s">
        <v>525</v>
      </c>
      <c r="Q219" s="100">
        <f>VLOOKUP(P219,References!$B$7:$F$252,5,FALSE)</f>
        <v>61</v>
      </c>
    </row>
    <row r="220" spans="1:17" x14ac:dyDescent="0.2">
      <c r="A220" s="868"/>
      <c r="B220" s="869"/>
      <c r="C220" s="832"/>
      <c r="D220" s="832"/>
      <c r="E220" s="58" t="s">
        <v>299</v>
      </c>
      <c r="F220" s="58" t="s">
        <v>301</v>
      </c>
      <c r="G220" s="58">
        <v>513.20000000000005</v>
      </c>
      <c r="H220" s="354">
        <v>1.5299999999999999E-10</v>
      </c>
      <c r="I220" s="58" t="s">
        <v>509</v>
      </c>
      <c r="J220" s="58" t="s">
        <v>513</v>
      </c>
      <c r="K220" s="433">
        <f t="shared" si="130"/>
        <v>7.85196E-5</v>
      </c>
      <c r="L220" s="178">
        <f t="shared" si="124"/>
        <v>-4.1050219214795103</v>
      </c>
      <c r="M220" s="433">
        <f t="shared" si="131"/>
        <v>1.5299999999999999E-10</v>
      </c>
      <c r="N220" s="178">
        <f t="shared" si="125"/>
        <v>-9.8153085691824007</v>
      </c>
      <c r="O220" s="58" t="s">
        <v>33</v>
      </c>
      <c r="P220" s="600" t="s">
        <v>511</v>
      </c>
      <c r="Q220" s="100">
        <f>VLOOKUP(P220,References!$B$7:$F$252,5,FALSE)</f>
        <v>36</v>
      </c>
    </row>
    <row r="221" spans="1:17" x14ac:dyDescent="0.2">
      <c r="A221" s="868"/>
      <c r="B221" s="869"/>
      <c r="C221" s="832"/>
      <c r="D221" s="832"/>
      <c r="E221" s="58" t="s">
        <v>299</v>
      </c>
      <c r="F221" s="58" t="s">
        <v>301</v>
      </c>
      <c r="G221" s="58">
        <v>513.20000000000005</v>
      </c>
      <c r="H221" s="354">
        <v>7.3000000000000006E-11</v>
      </c>
      <c r="I221" s="58" t="s">
        <v>509</v>
      </c>
      <c r="J221" s="58" t="s">
        <v>514</v>
      </c>
      <c r="K221" s="433">
        <f t="shared" ref="K221" si="134">IF(I221="mg/L",H221,IF(I221="log-mg/L",10^H221,IF(I221="g/L",H221*1000,IF(I221="ug/L",H221/1000,IF(I221="ng/mL",H221/1000,IF(I221="mol/L",H221*G221*1000,IF(I221="log-mol/L",(10^(H221))*G221*1000)))))))</f>
        <v>3.7463600000000012E-5</v>
      </c>
      <c r="L221" s="178">
        <f t="shared" ref="L221" si="135">IF(I221="log-mg/L",H221,LOG(K221))</f>
        <v>-4.4263904921766528</v>
      </c>
      <c r="M221" s="433">
        <f t="shared" ref="M221" si="136">IF(I221="mol/L",H221,(K221/1000)/G221)</f>
        <v>7.3000000000000006E-11</v>
      </c>
      <c r="N221" s="178">
        <f t="shared" ref="N221" si="137">IF(I221="log-mol/L",H221,LOG(M221))</f>
        <v>-10.136677139879543</v>
      </c>
      <c r="O221" s="58" t="s">
        <v>33</v>
      </c>
      <c r="P221" s="600" t="s">
        <v>511</v>
      </c>
      <c r="Q221" s="100">
        <f>VLOOKUP(P221,References!$B$7:$F$252,5,FALSE)</f>
        <v>36</v>
      </c>
    </row>
    <row r="222" spans="1:17" x14ac:dyDescent="0.2">
      <c r="A222" s="868"/>
      <c r="B222" s="869"/>
      <c r="C222" s="832"/>
      <c r="D222" s="832"/>
      <c r="E222" s="58" t="s">
        <v>299</v>
      </c>
      <c r="F222" s="58" t="s">
        <v>301</v>
      </c>
      <c r="G222" s="58">
        <v>513.20000000000005</v>
      </c>
      <c r="H222" s="354">
        <v>6.6199999999999997E-7</v>
      </c>
      <c r="I222" s="58" t="s">
        <v>509</v>
      </c>
      <c r="J222" s="58" t="s">
        <v>512</v>
      </c>
      <c r="K222" s="433">
        <f t="shared" si="130"/>
        <v>0.3397384</v>
      </c>
      <c r="L222" s="178">
        <f t="shared" si="124"/>
        <v>-0.4688553628574092</v>
      </c>
      <c r="M222" s="433">
        <f t="shared" si="131"/>
        <v>6.6199999999999997E-7</v>
      </c>
      <c r="N222" s="178">
        <f t="shared" si="125"/>
        <v>-6.1791420105602999</v>
      </c>
      <c r="O222" s="58" t="s">
        <v>33</v>
      </c>
      <c r="P222" s="600" t="s">
        <v>511</v>
      </c>
      <c r="Q222" s="100">
        <f>VLOOKUP(P222,References!$B$7:$F$252,5,FALSE)</f>
        <v>36</v>
      </c>
    </row>
    <row r="223" spans="1:17" x14ac:dyDescent="0.2">
      <c r="A223" s="868"/>
      <c r="B223" s="869"/>
      <c r="C223" s="832"/>
      <c r="D223" s="834"/>
      <c r="E223" s="59" t="s">
        <v>299</v>
      </c>
      <c r="F223" s="59" t="s">
        <v>301</v>
      </c>
      <c r="G223" s="59">
        <v>513.20000000000005</v>
      </c>
      <c r="H223" s="327">
        <v>7.9999999999999996E-7</v>
      </c>
      <c r="I223" s="59" t="s">
        <v>509</v>
      </c>
      <c r="J223" s="59" t="s">
        <v>515</v>
      </c>
      <c r="K223" s="469">
        <f t="shared" si="130"/>
        <v>0.41056000000000004</v>
      </c>
      <c r="L223" s="183">
        <f t="shared" si="124"/>
        <v>-0.3866233653051655</v>
      </c>
      <c r="M223" s="469">
        <f t="shared" si="131"/>
        <v>7.9999999999999996E-7</v>
      </c>
      <c r="N223" s="183">
        <f t="shared" si="125"/>
        <v>-6.0969100130080562</v>
      </c>
      <c r="O223" s="59">
        <v>25</v>
      </c>
      <c r="P223" s="598" t="s">
        <v>511</v>
      </c>
      <c r="Q223" s="100">
        <f>VLOOKUP(P223,References!$B$7:$F$252,5,FALSE)</f>
        <v>36</v>
      </c>
    </row>
    <row r="224" spans="1:17" x14ac:dyDescent="0.2">
      <c r="A224" s="867" t="s">
        <v>305</v>
      </c>
      <c r="B224" s="850" t="s">
        <v>306</v>
      </c>
      <c r="C224" s="833">
        <v>527.20000000000005</v>
      </c>
      <c r="D224" s="833" t="s">
        <v>308</v>
      </c>
      <c r="E224" s="57" t="s">
        <v>306</v>
      </c>
      <c r="F224" s="57" t="s">
        <v>308</v>
      </c>
      <c r="G224" s="57">
        <v>527.20000000000005</v>
      </c>
      <c r="H224" s="57">
        <v>-6.97</v>
      </c>
      <c r="I224" s="57" t="s">
        <v>521</v>
      </c>
      <c r="J224" s="57" t="s">
        <v>522</v>
      </c>
      <c r="K224" s="433">
        <f t="shared" si="130"/>
        <v>5.6490497772126558E-2</v>
      </c>
      <c r="L224" s="181">
        <f t="shared" si="124"/>
        <v>-1.248024598414047</v>
      </c>
      <c r="M224" s="433">
        <f t="shared" si="131"/>
        <v>1.0715193052376054E-7</v>
      </c>
      <c r="N224" s="181">
        <f t="shared" si="125"/>
        <v>-6.97</v>
      </c>
      <c r="O224" s="57" t="s">
        <v>33</v>
      </c>
      <c r="P224" s="733" t="s">
        <v>523</v>
      </c>
      <c r="Q224" s="121">
        <f>VLOOKUP(P224,References!$B$7:$F$252,5,FALSE)</f>
        <v>127</v>
      </c>
    </row>
    <row r="225" spans="1:17" x14ac:dyDescent="0.2">
      <c r="A225" s="868"/>
      <c r="B225" s="869"/>
      <c r="C225" s="832"/>
      <c r="D225" s="832"/>
      <c r="E225" s="58" t="s">
        <v>306</v>
      </c>
      <c r="F225" s="58" t="s">
        <v>308</v>
      </c>
      <c r="G225" s="58">
        <v>527.20000000000005</v>
      </c>
      <c r="H225" s="58">
        <v>-6.09</v>
      </c>
      <c r="I225" s="58" t="s">
        <v>521</v>
      </c>
      <c r="J225" s="58" t="s">
        <v>524</v>
      </c>
      <c r="K225" s="433">
        <f t="shared" si="130"/>
        <v>0.42852424812171297</v>
      </c>
      <c r="L225" s="178">
        <f t="shared" ref="L225" si="138">IF(I225="log-mg/L",H225,LOG(K225))</f>
        <v>-0.36802459841404672</v>
      </c>
      <c r="M225" s="433">
        <f t="shared" si="131"/>
        <v>8.1283051616409889E-7</v>
      </c>
      <c r="N225" s="178">
        <f t="shared" ref="N225" si="139">IF(I225="log-mol/L",H225,LOG(M225))</f>
        <v>-6.09</v>
      </c>
      <c r="O225" s="58">
        <v>25</v>
      </c>
      <c r="P225" s="600" t="s">
        <v>525</v>
      </c>
      <c r="Q225" s="100">
        <f>VLOOKUP(P225,References!$B$7:$F$252,5,FALSE)</f>
        <v>61</v>
      </c>
    </row>
    <row r="226" spans="1:17" x14ac:dyDescent="0.2">
      <c r="A226" s="868"/>
      <c r="B226" s="869"/>
      <c r="C226" s="832"/>
      <c r="D226" s="832"/>
      <c r="E226" s="58" t="s">
        <v>306</v>
      </c>
      <c r="F226" s="58" t="s">
        <v>308</v>
      </c>
      <c r="G226" s="58">
        <v>527.20000000000005</v>
      </c>
      <c r="H226" s="354">
        <v>4.6100000000000001E-11</v>
      </c>
      <c r="I226" s="58" t="s">
        <v>509</v>
      </c>
      <c r="J226" s="58" t="s">
        <v>513</v>
      </c>
      <c r="K226" s="433">
        <f t="shared" si="130"/>
        <v>2.4303920000000001E-5</v>
      </c>
      <c r="L226" s="178">
        <f t="shared" si="124"/>
        <v>-4.6143236730243986</v>
      </c>
      <c r="M226" s="433">
        <f t="shared" si="131"/>
        <v>4.6100000000000001E-11</v>
      </c>
      <c r="N226" s="178">
        <f t="shared" si="125"/>
        <v>-10.336299074610352</v>
      </c>
      <c r="O226" s="58" t="s">
        <v>33</v>
      </c>
      <c r="P226" s="600" t="s">
        <v>511</v>
      </c>
      <c r="Q226" s="100">
        <f>VLOOKUP(P226,References!$B$7:$F$252,5,FALSE)</f>
        <v>36</v>
      </c>
    </row>
    <row r="227" spans="1:17" x14ac:dyDescent="0.2">
      <c r="A227" s="868"/>
      <c r="B227" s="869"/>
      <c r="C227" s="832"/>
      <c r="D227" s="832"/>
      <c r="E227" s="58" t="s">
        <v>306</v>
      </c>
      <c r="F227" s="58" t="s">
        <v>308</v>
      </c>
      <c r="G227" s="58">
        <v>527.20000000000005</v>
      </c>
      <c r="H227" s="354">
        <v>2.9E-11</v>
      </c>
      <c r="I227" s="58" t="s">
        <v>509</v>
      </c>
      <c r="J227" s="58" t="s">
        <v>514</v>
      </c>
      <c r="K227" s="433">
        <f t="shared" si="130"/>
        <v>1.5288800000000002E-5</v>
      </c>
      <c r="L227" s="178">
        <f t="shared" si="124"/>
        <v>-4.8156266005150901</v>
      </c>
      <c r="M227" s="433">
        <f t="shared" si="131"/>
        <v>2.9E-11</v>
      </c>
      <c r="N227" s="178">
        <f t="shared" si="125"/>
        <v>-10.537602002101044</v>
      </c>
      <c r="O227" s="58" t="s">
        <v>33</v>
      </c>
      <c r="P227" s="600" t="s">
        <v>511</v>
      </c>
      <c r="Q227" s="100">
        <f>VLOOKUP(P227,References!$B$7:$F$252,5,FALSE)</f>
        <v>36</v>
      </c>
    </row>
    <row r="228" spans="1:17" x14ac:dyDescent="0.2">
      <c r="A228" s="868"/>
      <c r="B228" s="869"/>
      <c r="C228" s="832"/>
      <c r="D228" s="832"/>
      <c r="E228" s="58" t="s">
        <v>306</v>
      </c>
      <c r="F228" s="58" t="s">
        <v>308</v>
      </c>
      <c r="G228" s="58">
        <v>527.20000000000005</v>
      </c>
      <c r="H228" s="354">
        <v>4.6699999999999999E-7</v>
      </c>
      <c r="I228" s="58" t="s">
        <v>509</v>
      </c>
      <c r="J228" s="58" t="s">
        <v>512</v>
      </c>
      <c r="K228" s="433">
        <f t="shared" si="130"/>
        <v>0.24620240000000002</v>
      </c>
      <c r="L228" s="178">
        <f t="shared" si="124"/>
        <v>-0.60870771784793432</v>
      </c>
      <c r="M228" s="433">
        <f t="shared" si="131"/>
        <v>4.6699999999999999E-7</v>
      </c>
      <c r="N228" s="178">
        <f t="shared" si="125"/>
        <v>-6.3306831194338882</v>
      </c>
      <c r="O228" s="58" t="s">
        <v>33</v>
      </c>
      <c r="P228" s="600" t="s">
        <v>511</v>
      </c>
      <c r="Q228" s="100">
        <f>VLOOKUP(P228,References!$B$7:$F$252,5,FALSE)</f>
        <v>36</v>
      </c>
    </row>
    <row r="229" spans="1:17" x14ac:dyDescent="0.2">
      <c r="A229" s="868"/>
      <c r="B229" s="869"/>
      <c r="C229" s="832"/>
      <c r="D229" s="832"/>
      <c r="E229" s="58" t="s">
        <v>306</v>
      </c>
      <c r="F229" s="58" t="s">
        <v>308</v>
      </c>
      <c r="G229" s="58">
        <v>527.20000000000005</v>
      </c>
      <c r="H229" s="327">
        <v>8.0699999999999996E-7</v>
      </c>
      <c r="I229" s="59" t="s">
        <v>509</v>
      </c>
      <c r="J229" s="59" t="s">
        <v>515</v>
      </c>
      <c r="K229" s="469">
        <f t="shared" si="130"/>
        <v>0.42545040000000006</v>
      </c>
      <c r="L229" s="294">
        <f t="shared" si="124"/>
        <v>-0.37115106369197609</v>
      </c>
      <c r="M229" s="469">
        <f t="shared" si="131"/>
        <v>8.0699999999999996E-7</v>
      </c>
      <c r="N229" s="294">
        <f t="shared" si="125"/>
        <v>-6.0931264652779298</v>
      </c>
      <c r="O229" s="239">
        <v>25</v>
      </c>
      <c r="P229" s="598" t="s">
        <v>511</v>
      </c>
      <c r="Q229" s="122">
        <f>VLOOKUP(P229,References!$B$7:$F$252,5,FALSE)</f>
        <v>36</v>
      </c>
    </row>
    <row r="230" spans="1:17" ht="32" x14ac:dyDescent="0.2">
      <c r="A230" s="157" t="s">
        <v>315</v>
      </c>
      <c r="B230" s="152" t="s">
        <v>316</v>
      </c>
      <c r="C230" s="153">
        <v>651.23</v>
      </c>
      <c r="D230" s="153" t="s">
        <v>317</v>
      </c>
      <c r="E230" s="152" t="s">
        <v>316</v>
      </c>
      <c r="F230" s="153" t="s">
        <v>317</v>
      </c>
      <c r="G230" s="153">
        <v>651.23</v>
      </c>
      <c r="H230" s="344">
        <v>3.0300000000000001E-11</v>
      </c>
      <c r="I230" s="239" t="s">
        <v>509</v>
      </c>
      <c r="J230" s="239" t="s">
        <v>513</v>
      </c>
      <c r="K230" s="469">
        <f t="shared" ref="K230:K231" si="140">IF(I230="mg/L",H230,IF(I230="log-mg/L",10^H230,IF(I230="g/L",H230*1000,IF(I230="ug/L",H230/1000,IF(I230="ng/mL",H230/1000,IF(I230="mol/L",H230*G230*1000,IF(I230="log-mol/L",(10^(H230))*G230*1000)))))))</f>
        <v>1.9732268999999999E-5</v>
      </c>
      <c r="L230" s="294">
        <f t="shared" ref="L230:L231" si="141">IF(I230="log-mg/L",H230,LOG(K230))</f>
        <v>-4.7048229726534743</v>
      </c>
      <c r="M230" s="469">
        <f t="shared" ref="M230:M231" si="142">IF(I230="mol/L",H230,(K230/1000)/G230)</f>
        <v>3.0300000000000001E-11</v>
      </c>
      <c r="N230" s="294">
        <f t="shared" ref="N230:N231" si="143">IF(I230="log-mol/L",H230,LOG(M230))</f>
        <v>-10.518557371497694</v>
      </c>
      <c r="O230" s="239" t="s">
        <v>33</v>
      </c>
      <c r="P230" s="738" t="s">
        <v>511</v>
      </c>
      <c r="Q230" s="394">
        <f>VLOOKUP(P230,References!$B$7:$F$252,5,FALSE)</f>
        <v>36</v>
      </c>
    </row>
    <row r="231" spans="1:17" ht="33" thickBot="1" x14ac:dyDescent="0.25">
      <c r="A231" s="187" t="s">
        <v>321</v>
      </c>
      <c r="B231" s="188" t="s">
        <v>322</v>
      </c>
      <c r="C231" s="146">
        <v>1204.46</v>
      </c>
      <c r="D231" s="146" t="s">
        <v>323</v>
      </c>
      <c r="E231" s="188" t="s">
        <v>322</v>
      </c>
      <c r="F231" s="146" t="s">
        <v>323</v>
      </c>
      <c r="G231" s="146">
        <v>1204.46</v>
      </c>
      <c r="H231" s="376">
        <v>1.6699999999999999E-22</v>
      </c>
      <c r="I231" s="145" t="s">
        <v>509</v>
      </c>
      <c r="J231" s="145" t="s">
        <v>513</v>
      </c>
      <c r="K231" s="433">
        <f t="shared" si="140"/>
        <v>2.0114482E-16</v>
      </c>
      <c r="L231" s="133">
        <f t="shared" si="141"/>
        <v>-15.696491147156269</v>
      </c>
      <c r="M231" s="433">
        <f t="shared" si="142"/>
        <v>1.6699999999999999E-22</v>
      </c>
      <c r="N231" s="133">
        <f t="shared" si="143"/>
        <v>-21.777283528852418</v>
      </c>
      <c r="O231" s="145" t="s">
        <v>33</v>
      </c>
      <c r="P231" s="737" t="s">
        <v>511</v>
      </c>
      <c r="Q231" s="393">
        <f>VLOOKUP(P231,References!$B$7:$F$252,5,FALSE)</f>
        <v>36</v>
      </c>
    </row>
    <row r="232" spans="1:17" ht="17" thickBot="1" x14ac:dyDescent="0.25">
      <c r="A232" s="83" t="s">
        <v>326</v>
      </c>
      <c r="B232" s="176" t="s">
        <v>327</v>
      </c>
      <c r="C232" s="82"/>
      <c r="D232" s="82"/>
      <c r="E232" s="79"/>
      <c r="F232" s="175"/>
      <c r="G232" s="175"/>
      <c r="H232" s="175"/>
      <c r="I232" s="175"/>
      <c r="J232" s="175"/>
      <c r="K232" s="594"/>
      <c r="L232" s="276"/>
      <c r="M232" s="594"/>
      <c r="N232" s="276"/>
      <c r="O232" s="175"/>
      <c r="P232" s="277"/>
      <c r="Q232" s="278"/>
    </row>
    <row r="233" spans="1:17" x14ac:dyDescent="0.2">
      <c r="A233" s="829" t="s">
        <v>328</v>
      </c>
      <c r="B233" s="831" t="s">
        <v>329</v>
      </c>
      <c r="C233" s="831">
        <v>343.2</v>
      </c>
      <c r="D233" s="831" t="s">
        <v>330</v>
      </c>
      <c r="E233" s="135" t="s">
        <v>329</v>
      </c>
      <c r="F233" s="156" t="s">
        <v>330</v>
      </c>
      <c r="G233" s="156">
        <v>343.2</v>
      </c>
      <c r="H233" s="734">
        <v>8.7100000000000003E-5</v>
      </c>
      <c r="I233" s="177" t="s">
        <v>509</v>
      </c>
      <c r="J233" s="177" t="s">
        <v>515</v>
      </c>
      <c r="K233" s="603">
        <f t="shared" ref="K233" si="144">IF(I233="mg/L",H233,IF(I233="log-mg/L",10^H233,IF(I233="g/L",H233*1000,IF(I233="ug/L",H233/1000,IF(I233="ng/mL",H233/1000,IF(I233="mol/L",H233*G233*1000,IF(I233="log-mol/L",(10^(H233))*G233*1000)))))))</f>
        <v>29.892720000000001</v>
      </c>
      <c r="L233" s="323">
        <f t="shared" ref="L233:L234" si="145">IF(I233="log-mg/L",H233,LOG(K233))</f>
        <v>1.4755654341843309</v>
      </c>
      <c r="M233" s="603">
        <f t="shared" ref="M233" si="146">IF(I233="mol/L",H233,(K233/1000)/G233)</f>
        <v>8.7100000000000003E-5</v>
      </c>
      <c r="N233" s="323">
        <f t="shared" ref="N233:N234" si="147">IF(I233="log-mol/L",H233,LOG(M233))</f>
        <v>-4.0599818449923371</v>
      </c>
      <c r="O233" s="135" t="s">
        <v>33</v>
      </c>
      <c r="P233" s="708" t="s">
        <v>511</v>
      </c>
      <c r="Q233" s="99">
        <f>VLOOKUP(P233,References!$B$7:$F$252,5,FALSE)</f>
        <v>36</v>
      </c>
    </row>
    <row r="234" spans="1:17" x14ac:dyDescent="0.2">
      <c r="A234" s="847"/>
      <c r="B234" s="834"/>
      <c r="C234" s="834"/>
      <c r="D234" s="834"/>
      <c r="E234" s="59" t="s">
        <v>329</v>
      </c>
      <c r="F234" s="239" t="s">
        <v>330</v>
      </c>
      <c r="G234" s="239">
        <v>343.2</v>
      </c>
      <c r="H234" s="59">
        <v>-2.74</v>
      </c>
      <c r="I234" s="59" t="s">
        <v>521</v>
      </c>
      <c r="J234" s="195" t="s">
        <v>522</v>
      </c>
      <c r="K234" s="469">
        <f>IF(I234="mg/L",H234,IF(I234="log-mg/L",10^H234,IF(I234="g/L",H234*1000,IF(I234="ug/L",H234/1000,IF(I234="ng/mL",H234/1000,IF(I234="mol/L",H234*G234*1000,IF(I234="log-mol/L",(10^(H234))*G234*1000)))))))</f>
        <v>624.52133467494536</v>
      </c>
      <c r="L234" s="183">
        <f t="shared" si="145"/>
        <v>2.7955472791766671</v>
      </c>
      <c r="M234" s="469">
        <f>IF(I234="mol/L",H234,(K234/1000)/G234)</f>
        <v>1.8197008586099809E-3</v>
      </c>
      <c r="N234" s="183">
        <f t="shared" si="147"/>
        <v>-2.74</v>
      </c>
      <c r="O234" s="59" t="s">
        <v>33</v>
      </c>
      <c r="P234" s="598" t="s">
        <v>523</v>
      </c>
      <c r="Q234" s="122">
        <f>VLOOKUP(P234,References!$B$7:$F$252,5,FALSE)</f>
        <v>127</v>
      </c>
    </row>
    <row r="235" spans="1:17" x14ac:dyDescent="0.2">
      <c r="A235" s="830" t="s">
        <v>332</v>
      </c>
      <c r="B235" s="832" t="s">
        <v>333</v>
      </c>
      <c r="C235" s="832">
        <v>543.20000000000005</v>
      </c>
      <c r="D235" s="832" t="s">
        <v>335</v>
      </c>
      <c r="E235" s="58" t="s">
        <v>333</v>
      </c>
      <c r="F235" s="58" t="s">
        <v>335</v>
      </c>
      <c r="G235" s="58">
        <v>543.20000000000005</v>
      </c>
      <c r="H235" s="58">
        <v>-5.76</v>
      </c>
      <c r="I235" s="58" t="s">
        <v>521</v>
      </c>
      <c r="J235" s="58" t="s">
        <v>522</v>
      </c>
      <c r="K235" s="433">
        <f>IF(I235="mg/L",H235,IF(I235="log-mg/L",10^H235,IF(I235="g/L",H235*1000,IF(I235="ug/L",H235/1000,IF(I235="ng/mL",H235/1000,IF(I235="mol/L",H235*G235*1000,IF(I235="log-mol/L",(10^(H235))*G235*1000)))))))</f>
        <v>0.9439734101766607</v>
      </c>
      <c r="L235" s="178">
        <f t="shared" ref="L235:L254" si="148">IF(I235="log-mg/L",H235,LOG(K235))</f>
        <v>-2.5040238727554755E-2</v>
      </c>
      <c r="M235" s="433">
        <f>IF(I235="mol/L",H235,(K235/1000)/G235)</f>
        <v>1.7378008287493753E-6</v>
      </c>
      <c r="N235" s="178">
        <f t="shared" ref="N235:N254" si="149">IF(I235="log-mol/L",H235,LOG(M235))</f>
        <v>-5.76</v>
      </c>
      <c r="O235" s="58" t="s">
        <v>33</v>
      </c>
      <c r="P235" s="600" t="s">
        <v>523</v>
      </c>
      <c r="Q235" s="100">
        <f>VLOOKUP(P235,References!$B$7:$F$252,5,FALSE)</f>
        <v>127</v>
      </c>
    </row>
    <row r="236" spans="1:17" x14ac:dyDescent="0.2">
      <c r="A236" s="830"/>
      <c r="B236" s="832"/>
      <c r="C236" s="832"/>
      <c r="D236" s="832"/>
      <c r="E236" s="58" t="s">
        <v>333</v>
      </c>
      <c r="F236" s="58" t="s">
        <v>335</v>
      </c>
      <c r="G236" s="58">
        <v>543.20000000000005</v>
      </c>
      <c r="H236" s="354">
        <v>2.4E-10</v>
      </c>
      <c r="I236" s="58" t="s">
        <v>509</v>
      </c>
      <c r="J236" s="58" t="s">
        <v>514</v>
      </c>
      <c r="K236" s="433">
        <f>IF(I236="mg/L",H236,IF(I236="log-mg/L",10^H236,IF(I236="g/L",H236*1000,IF(I236="ug/L",H236/1000,IF(I236="ng/mL",H236/1000,IF(I236="mol/L",H236*G236*1000,IF(I236="log-mol/L",(10^(H236))*G236*1000)))))))</f>
        <v>1.3036800000000001E-4</v>
      </c>
      <c r="L236" s="178">
        <f t="shared" si="148"/>
        <v>-3.8848289970159486</v>
      </c>
      <c r="M236" s="433">
        <f>IF(I236="mol/L",H236,(K236/1000)/G236)</f>
        <v>2.4E-10</v>
      </c>
      <c r="N236" s="178">
        <f t="shared" si="149"/>
        <v>-9.6197887582883936</v>
      </c>
      <c r="O236" s="58" t="s">
        <v>33</v>
      </c>
      <c r="P236" s="600" t="s">
        <v>511</v>
      </c>
      <c r="Q236" s="100">
        <f>VLOOKUP(P236,References!$B$7:$F$252,5,FALSE)</f>
        <v>36</v>
      </c>
    </row>
    <row r="237" spans="1:17" x14ac:dyDescent="0.2">
      <c r="A237" s="830"/>
      <c r="B237" s="832"/>
      <c r="C237" s="832"/>
      <c r="D237" s="834"/>
      <c r="E237" s="59" t="s">
        <v>333</v>
      </c>
      <c r="F237" s="59" t="s">
        <v>335</v>
      </c>
      <c r="G237" s="59">
        <v>543.20000000000005</v>
      </c>
      <c r="H237" s="327">
        <v>4.7999999999999998E-6</v>
      </c>
      <c r="I237" s="59" t="s">
        <v>509</v>
      </c>
      <c r="J237" s="59" t="s">
        <v>515</v>
      </c>
      <c r="K237" s="469">
        <f>IF(I237="mg/L",H237,IF(I237="log-mg/L",10^H237,IF(I237="g/L",H237*1000,IF(I237="ug/L",H237/1000,IF(I237="ng/mL",H237/1000,IF(I237="mol/L",H237*G237*1000,IF(I237="log-mol/L",(10^(H237))*G237*1000)))))))</f>
        <v>2.6073599999999999</v>
      </c>
      <c r="L237" s="183">
        <f t="shared" si="148"/>
        <v>0.41620099864803245</v>
      </c>
      <c r="M237" s="469">
        <f>IF(I237="mol/L",H237,(K237/1000)/G237)</f>
        <v>4.7999999999999998E-6</v>
      </c>
      <c r="N237" s="183">
        <f t="shared" si="149"/>
        <v>-5.3187587626244124</v>
      </c>
      <c r="O237" s="59">
        <v>25</v>
      </c>
      <c r="P237" s="598" t="s">
        <v>511</v>
      </c>
      <c r="Q237" s="100">
        <f>VLOOKUP(P237,References!$B$7:$F$252,5,FALSE)</f>
        <v>36</v>
      </c>
    </row>
    <row r="238" spans="1:17" x14ac:dyDescent="0.2">
      <c r="A238" s="867" t="s">
        <v>337</v>
      </c>
      <c r="B238" s="850" t="s">
        <v>338</v>
      </c>
      <c r="C238" s="833">
        <v>557.20000000000005</v>
      </c>
      <c r="D238" s="832" t="s">
        <v>340</v>
      </c>
      <c r="E238" s="58" t="s">
        <v>338</v>
      </c>
      <c r="F238" s="58" t="s">
        <v>340</v>
      </c>
      <c r="G238" s="58">
        <v>557.20000000000005</v>
      </c>
      <c r="H238" s="58">
        <v>-0.09</v>
      </c>
      <c r="I238" s="58" t="s">
        <v>518</v>
      </c>
      <c r="J238" s="58" t="s">
        <v>27</v>
      </c>
      <c r="K238" s="433">
        <f>IF(I238="mg/L",H238,IF(I238="log-mg/L",10^H238,IF(I238="g/L",H238*1000,IF(I238="ug/L",H238/1000,IF(I238="ng/mL",H238/1000,IF(I238="mol/L",H238*G238*1000,IF(I238="log-mol/L",(10^(H238))*G238*1000)))))))</f>
        <v>0.81283051616409918</v>
      </c>
      <c r="L238" s="178">
        <f t="shared" si="148"/>
        <v>-0.09</v>
      </c>
      <c r="M238" s="433">
        <f>IF(I238="mol/L",H238,(K238/1000)/G238)</f>
        <v>1.4587769493253753E-6</v>
      </c>
      <c r="N238" s="178">
        <f t="shared" si="149"/>
        <v>-5.8360111077519257</v>
      </c>
      <c r="O238" s="58">
        <v>25</v>
      </c>
      <c r="P238" s="600" t="s">
        <v>520</v>
      </c>
      <c r="Q238" s="121">
        <f>VLOOKUP(P238,References!$B$7:$F$252,5,FALSE)</f>
        <v>14</v>
      </c>
    </row>
    <row r="239" spans="1:17" x14ac:dyDescent="0.2">
      <c r="A239" s="868"/>
      <c r="B239" s="869"/>
      <c r="C239" s="832"/>
      <c r="D239" s="832"/>
      <c r="E239" s="58" t="s">
        <v>338</v>
      </c>
      <c r="F239" s="58" t="s">
        <v>340</v>
      </c>
      <c r="G239" s="58">
        <v>557.20000000000005</v>
      </c>
      <c r="H239" s="58">
        <v>-0.14000000000000001</v>
      </c>
      <c r="I239" s="58" t="s">
        <v>518</v>
      </c>
      <c r="J239" s="58" t="s">
        <v>519</v>
      </c>
      <c r="K239" s="433">
        <f>IF(I239="mg/L",H239,IF(I239="log-mg/L",10^H239,IF(I239="g/L",H239*1000,IF(I239="ug/L",H239/1000,IF(I239="ng/mL",H239/1000,IF(I239="mol/L",H239*G240*1000,IF(I239="log-mol/L",(10^(H239))*G240*1000)))))))</f>
        <v>0.72443596007499</v>
      </c>
      <c r="L239" s="178">
        <f t="shared" si="148"/>
        <v>-0.14000000000000001</v>
      </c>
      <c r="M239" s="433">
        <f>IF(I239="mol/L",H239,(K239/1000)/G240)</f>
        <v>1.3001363246141242E-6</v>
      </c>
      <c r="N239" s="178">
        <f t="shared" si="149"/>
        <v>-5.8860111077519255</v>
      </c>
      <c r="O239" s="58">
        <v>25</v>
      </c>
      <c r="P239" s="600" t="s">
        <v>520</v>
      </c>
      <c r="Q239" s="100">
        <f>VLOOKUP(P239,References!$B$7:$F$252,5,FALSE)</f>
        <v>14</v>
      </c>
    </row>
    <row r="240" spans="1:17" x14ac:dyDescent="0.2">
      <c r="A240" s="868"/>
      <c r="B240" s="869"/>
      <c r="C240" s="832"/>
      <c r="D240" s="832"/>
      <c r="E240" s="58" t="s">
        <v>338</v>
      </c>
      <c r="F240" s="58" t="s">
        <v>340</v>
      </c>
      <c r="G240" s="58">
        <v>557.20000000000005</v>
      </c>
      <c r="H240" s="58">
        <v>-6.22</v>
      </c>
      <c r="I240" s="58" t="s">
        <v>521</v>
      </c>
      <c r="J240" s="58" t="s">
        <v>522</v>
      </c>
      <c r="K240" s="433">
        <f>IF(I240="mg/L",H240,IF(I240="log-mg/L",10^H240,IF(I240="g/L",H240*1000,IF(I240="ug/L",H240/1000,IF(I240="ng/mL",H240/1000,IF(I240="mol/L",H240*G241*1000,IF(I240="log-mol/L",(10^(H240))*G241*1000)))))))</f>
        <v>0.33574620136063188</v>
      </c>
      <c r="L240" s="178">
        <f t="shared" si="148"/>
        <v>-0.47398889224807444</v>
      </c>
      <c r="M240" s="433">
        <f>IF(I240="mol/L",H240,(K240/1000)/G241)</f>
        <v>6.0255958607435721E-7</v>
      </c>
      <c r="N240" s="178">
        <f t="shared" si="149"/>
        <v>-6.22</v>
      </c>
      <c r="O240" s="58" t="s">
        <v>33</v>
      </c>
      <c r="P240" s="600" t="s">
        <v>523</v>
      </c>
      <c r="Q240" s="100">
        <f>VLOOKUP(P240,References!$B$7:$F$252,5,FALSE)</f>
        <v>127</v>
      </c>
    </row>
    <row r="241" spans="1:17" x14ac:dyDescent="0.2">
      <c r="A241" s="868"/>
      <c r="B241" s="869"/>
      <c r="C241" s="832"/>
      <c r="D241" s="832"/>
      <c r="E241" s="58" t="s">
        <v>338</v>
      </c>
      <c r="F241" s="58" t="s">
        <v>340</v>
      </c>
      <c r="G241" s="58">
        <v>557.20000000000005</v>
      </c>
      <c r="H241" s="58">
        <v>-6.45</v>
      </c>
      <c r="I241" s="58" t="s">
        <v>521</v>
      </c>
      <c r="J241" s="58" t="s">
        <v>524</v>
      </c>
      <c r="K241" s="433">
        <f>IF(I241="mg/L",H241,IF(I241="log-mg/L",10^H241,IF(I241="g/L",H241*1000,IF(I241="ug/L",H241/1000,IF(I241="ng/mL",H241/1000,IF(I241="mol/L",H241*G239*1000,IF(I241="log-mol/L",(10^(H241))*G239*1000)))))))</f>
        <v>0.19770202048094779</v>
      </c>
      <c r="L241" s="178">
        <f t="shared" ref="L241" si="150">IF(I241="log-mg/L",H241,LOG(K241))</f>
        <v>-0.70398889224807515</v>
      </c>
      <c r="M241" s="433">
        <f>IF(I241="mol/L",H241,(K241/1000)/G239)</f>
        <v>3.5481338923357463E-7</v>
      </c>
      <c r="N241" s="178">
        <f t="shared" ref="N241" si="151">IF(I241="log-mol/L",H241,LOG(M241))</f>
        <v>-6.45</v>
      </c>
      <c r="O241" s="58">
        <v>25</v>
      </c>
      <c r="P241" s="600" t="s">
        <v>525</v>
      </c>
      <c r="Q241" s="100">
        <f>VLOOKUP(P241,References!$B$7:$F$252,5,FALSE)</f>
        <v>61</v>
      </c>
    </row>
    <row r="242" spans="1:17" x14ac:dyDescent="0.2">
      <c r="A242" s="868"/>
      <c r="B242" s="869"/>
      <c r="C242" s="832"/>
      <c r="D242" s="832"/>
      <c r="E242" s="58" t="s">
        <v>338</v>
      </c>
      <c r="F242" s="58" t="s">
        <v>340</v>
      </c>
      <c r="G242" s="58">
        <v>557.20000000000005</v>
      </c>
      <c r="H242" s="354">
        <v>3.28E-10</v>
      </c>
      <c r="I242" s="58" t="s">
        <v>509</v>
      </c>
      <c r="J242" s="58" t="s">
        <v>513</v>
      </c>
      <c r="K242" s="433">
        <f>IF(I242="mg/L",H242,IF(I242="log-mg/L",10^H242,IF(I242="g/L",H242*1000,IF(I242="ug/L",H242/1000,IF(I242="ng/mL",H242/1000,IF(I242="mol/L",H242*G242*1000,IF(I242="log-mol/L",(10^(H242))*G242*1000)))))))</f>
        <v>1.8276160000000002E-4</v>
      </c>
      <c r="L242" s="178">
        <f t="shared" si="148"/>
        <v>-3.738115048536395</v>
      </c>
      <c r="M242" s="433">
        <f>IF(I242="mol/L",H242,(K242/1000)/G242)</f>
        <v>3.28E-10</v>
      </c>
      <c r="N242" s="178">
        <f t="shared" si="149"/>
        <v>-9.4841261562883208</v>
      </c>
      <c r="O242" s="58" t="s">
        <v>33</v>
      </c>
      <c r="P242" s="600" t="s">
        <v>511</v>
      </c>
      <c r="Q242" s="100">
        <f>VLOOKUP(P242,References!$B$7:$F$252,5,FALSE)</f>
        <v>36</v>
      </c>
    </row>
    <row r="243" spans="1:17" x14ac:dyDescent="0.2">
      <c r="A243" s="868"/>
      <c r="B243" s="869"/>
      <c r="C243" s="832"/>
      <c r="D243" s="832"/>
      <c r="E243" s="58" t="s">
        <v>338</v>
      </c>
      <c r="F243" s="58" t="s">
        <v>340</v>
      </c>
      <c r="G243" s="58">
        <v>557.20000000000005</v>
      </c>
      <c r="H243" s="354">
        <v>2.8E-11</v>
      </c>
      <c r="I243" s="58" t="s">
        <v>509</v>
      </c>
      <c r="J243" s="58" t="s">
        <v>514</v>
      </c>
      <c r="K243" s="433">
        <f>IF(I243="mg/L",H243,IF(I243="log-mg/L",10^H243,IF(I243="g/L",H243*1000,IF(I243="ug/L",H243/1000,IF(I243="ng/mL",H243/1000,IF(I243="mol/L",H243*G243*1000,IF(I243="log-mol/L",(10^(H243))*G243*1000)))))))</f>
        <v>1.56016E-5</v>
      </c>
      <c r="L243" s="178">
        <f t="shared" ref="L243" si="152">IF(I243="log-mg/L",H243,LOG(K243))</f>
        <v>-4.8068308609058548</v>
      </c>
      <c r="M243" s="433">
        <f>IF(I243="mol/L",H243,(K243/1000)/G243)</f>
        <v>2.8E-11</v>
      </c>
      <c r="N243" s="178">
        <f t="shared" ref="N243" si="153">IF(I243="log-mol/L",H243,LOG(M243))</f>
        <v>-10.552841968657781</v>
      </c>
      <c r="O243" s="58" t="s">
        <v>33</v>
      </c>
      <c r="P243" s="600" t="s">
        <v>511</v>
      </c>
      <c r="Q243" s="100">
        <f>VLOOKUP(P243,References!$B$7:$F$252,5,FALSE)</f>
        <v>36</v>
      </c>
    </row>
    <row r="244" spans="1:17" x14ac:dyDescent="0.2">
      <c r="A244" s="868"/>
      <c r="B244" s="869"/>
      <c r="C244" s="832"/>
      <c r="D244" s="832"/>
      <c r="E244" s="58" t="s">
        <v>338</v>
      </c>
      <c r="F244" s="58" t="s">
        <v>340</v>
      </c>
      <c r="G244" s="58">
        <v>557.20000000000005</v>
      </c>
      <c r="H244" s="354">
        <v>9.9999999999999995E-7</v>
      </c>
      <c r="I244" s="58" t="s">
        <v>509</v>
      </c>
      <c r="J244" s="58" t="s">
        <v>512</v>
      </c>
      <c r="K244" s="433">
        <f>IF(I244="mg/L",H244,IF(I244="log-mg/L",10^H244,IF(I244="g/L",H244*1000,IF(I244="ug/L",H244/1000,IF(I244="ng/mL",H244/1000,IF(I244="mol/L",H244*G244*1000,IF(I244="log-mol/L",(10^(H244))*G244*1000)))))))</f>
        <v>0.55720000000000003</v>
      </c>
      <c r="L244" s="178">
        <f t="shared" si="148"/>
        <v>-0.25398889224807408</v>
      </c>
      <c r="M244" s="433">
        <f>IF(I244="mol/L",H244,(K244/1000)/G244)</f>
        <v>9.9999999999999995E-7</v>
      </c>
      <c r="N244" s="178">
        <f t="shared" si="149"/>
        <v>-6</v>
      </c>
      <c r="O244" s="58" t="s">
        <v>33</v>
      </c>
      <c r="P244" s="600" t="s">
        <v>511</v>
      </c>
      <c r="Q244" s="100">
        <f>VLOOKUP(P244,References!$B$7:$F$252,5,FALSE)</f>
        <v>36</v>
      </c>
    </row>
    <row r="245" spans="1:17" x14ac:dyDescent="0.2">
      <c r="A245" s="879"/>
      <c r="B245" s="851"/>
      <c r="C245" s="834"/>
      <c r="D245" s="834"/>
      <c r="E245" s="59" t="s">
        <v>338</v>
      </c>
      <c r="F245" s="59" t="s">
        <v>340</v>
      </c>
      <c r="G245" s="59">
        <v>557.20000000000005</v>
      </c>
      <c r="H245" s="327">
        <v>1.46E-6</v>
      </c>
      <c r="I245" s="59" t="s">
        <v>509</v>
      </c>
      <c r="J245" s="59" t="s">
        <v>515</v>
      </c>
      <c r="K245" s="469">
        <f>IF(I245="mg/L",H245,IF(I245="log-mg/L",10^H245,IF(I245="g/L",H245*1000,IF(I245="ug/L",H245/1000,IF(I245="ng/mL",H245/1000,IF(I245="mol/L",H245*G245*1000,IF(I245="log-mol/L",(10^(H245))*G245*1000)))))))</f>
        <v>0.81351200000000001</v>
      </c>
      <c r="L245" s="183">
        <f t="shared" si="148"/>
        <v>-8.963603646363702E-2</v>
      </c>
      <c r="M245" s="469">
        <f>IF(I245="mol/L",H245,(K245/1000)/G245)</f>
        <v>1.46E-6</v>
      </c>
      <c r="N245" s="183">
        <f t="shared" si="149"/>
        <v>-5.8356471442155629</v>
      </c>
      <c r="O245" s="59">
        <v>25</v>
      </c>
      <c r="P245" s="598" t="s">
        <v>511</v>
      </c>
      <c r="Q245" s="122">
        <f>VLOOKUP(P245,References!$B$7:$F$252,5,FALSE)</f>
        <v>36</v>
      </c>
    </row>
    <row r="246" spans="1:17" x14ac:dyDescent="0.2">
      <c r="A246" s="868" t="s">
        <v>345</v>
      </c>
      <c r="B246" s="869" t="s">
        <v>346</v>
      </c>
      <c r="C246" s="832">
        <v>571.29999999999995</v>
      </c>
      <c r="D246" s="832" t="s">
        <v>348</v>
      </c>
      <c r="E246" s="58" t="s">
        <v>346</v>
      </c>
      <c r="F246" s="58" t="s">
        <v>348</v>
      </c>
      <c r="G246" s="58">
        <v>571.29999999999995</v>
      </c>
      <c r="H246" s="354">
        <v>15100</v>
      </c>
      <c r="I246" s="58" t="s">
        <v>527</v>
      </c>
      <c r="J246" s="58" t="s">
        <v>27</v>
      </c>
      <c r="K246" s="433">
        <f>IF(I246="mg/L",H246,IF(I246="log-mg/L",10^H246,IF(I246="g/L",H246*1000,IF(I246="ug/L",H246/1000,IF(I246="ng/mL",H246/1000,IF(I246="mol/L",H246*G249*1000,IF(I246="log-mol/L",(10^(H246))*G249*1000)))))))</f>
        <v>15100000</v>
      </c>
      <c r="L246" s="178">
        <f>IF(I246="log-mg/L",H246,LOG(K246))</f>
        <v>7.1789769472931697</v>
      </c>
      <c r="M246" s="433">
        <f>IF(I246="mol/L",H246,(K246/1000)/G249)</f>
        <v>26.430946963066692</v>
      </c>
      <c r="N246" s="178">
        <f>IF(I246="log-mol/L",H246,LOG(M246))</f>
        <v>1.4221127232326205</v>
      </c>
      <c r="O246" s="58">
        <v>25</v>
      </c>
      <c r="P246" s="600" t="s">
        <v>528</v>
      </c>
      <c r="Q246" s="100">
        <f>VLOOKUP(P246,References!$B$7:$F$252,5,FALSE)</f>
        <v>47</v>
      </c>
    </row>
    <row r="247" spans="1:17" x14ac:dyDescent="0.2">
      <c r="A247" s="868"/>
      <c r="B247" s="869"/>
      <c r="C247" s="832"/>
      <c r="D247" s="832"/>
      <c r="E247" s="58" t="s">
        <v>346</v>
      </c>
      <c r="F247" s="58" t="s">
        <v>348</v>
      </c>
      <c r="G247" s="58">
        <v>571.29999999999995</v>
      </c>
      <c r="H247" s="58">
        <v>-0.05</v>
      </c>
      <c r="I247" s="58" t="s">
        <v>518</v>
      </c>
      <c r="J247" s="58" t="s">
        <v>27</v>
      </c>
      <c r="K247" s="433">
        <f>IF(I247="mg/L",H247,IF(I247="log-mg/L",10^H247,IF(I247="g/L",H247*1000,IF(I247="ug/L",H247/1000,IF(I247="ng/mL",H247/1000,IF(I247="mol/L",H247*G246*1000,IF(I247="log-mol/L",(10^(H247))*G246*1000)))))))</f>
        <v>0.89125093813374545</v>
      </c>
      <c r="L247" s="178">
        <f t="shared" si="148"/>
        <v>-0.05</v>
      </c>
      <c r="M247" s="433">
        <f>IF(I247="mol/L",H247,(K247/1000)/G246)</f>
        <v>1.5600401507679775E-6</v>
      </c>
      <c r="N247" s="178">
        <f t="shared" si="149"/>
        <v>-5.8068642240605488</v>
      </c>
      <c r="O247" s="58">
        <v>25</v>
      </c>
      <c r="P247" s="600" t="s">
        <v>520</v>
      </c>
      <c r="Q247" s="100">
        <f>VLOOKUP(P247,References!$B$7:$F$252,5,FALSE)</f>
        <v>14</v>
      </c>
    </row>
    <row r="248" spans="1:17" x14ac:dyDescent="0.2">
      <c r="A248" s="868"/>
      <c r="B248" s="869"/>
      <c r="C248" s="832"/>
      <c r="D248" s="832"/>
      <c r="E248" s="58" t="s">
        <v>346</v>
      </c>
      <c r="F248" s="58" t="s">
        <v>348</v>
      </c>
      <c r="G248" s="58">
        <v>571.29999999999995</v>
      </c>
      <c r="H248" s="58">
        <v>-0.06</v>
      </c>
      <c r="I248" s="58" t="s">
        <v>518</v>
      </c>
      <c r="J248" s="58" t="s">
        <v>519</v>
      </c>
      <c r="K248" s="433">
        <f>IF(I248="mg/L",H248,IF(I248="log-mg/L",10^H248,IF(I248="g/L",H248*1000,IF(I248="ug/L",H248/1000,IF(I248="ng/mL",H248/1000,IF(I248="mol/L",H248*G248*1000,IF(I248="log-mol/L",(10^(H248))*G248*1000)))))))</f>
        <v>0.87096358995608059</v>
      </c>
      <c r="L248" s="178">
        <f t="shared" si="148"/>
        <v>-0.06</v>
      </c>
      <c r="M248" s="433">
        <f>IF(I248="mol/L",H248,(K248/1000)/G248)</f>
        <v>1.5245293015159823E-6</v>
      </c>
      <c r="N248" s="178">
        <f t="shared" si="149"/>
        <v>-5.8168642240605486</v>
      </c>
      <c r="O248" s="58">
        <v>25</v>
      </c>
      <c r="P248" s="600" t="s">
        <v>520</v>
      </c>
      <c r="Q248" s="100">
        <f>VLOOKUP(P248,References!$B$7:$F$252,5,FALSE)</f>
        <v>14</v>
      </c>
    </row>
    <row r="249" spans="1:17" x14ac:dyDescent="0.2">
      <c r="A249" s="868"/>
      <c r="B249" s="869"/>
      <c r="C249" s="832"/>
      <c r="D249" s="832"/>
      <c r="E249" s="58" t="s">
        <v>346</v>
      </c>
      <c r="F249" s="58" t="s">
        <v>348</v>
      </c>
      <c r="G249" s="58">
        <v>571.29999999999995</v>
      </c>
      <c r="H249" s="58">
        <v>-6.73</v>
      </c>
      <c r="I249" s="58" t="s">
        <v>521</v>
      </c>
      <c r="J249" s="58" t="s">
        <v>522</v>
      </c>
      <c r="K249" s="433">
        <f>IF(I249="mg/L",H249,IF(I249="log-mg/L",10^H249,IF(I249="g/L",H249*1000,IF(I249="ug/L",H249/1000,IF(I249="ng/mL",H249/1000,IF(I249="mol/L",H249*G250*1000,IF(I249="log-mol/L",(10^(H249))*G250*1000)))))))</f>
        <v>0.10638103811754926</v>
      </c>
      <c r="L249" s="178">
        <f t="shared" si="148"/>
        <v>-0.97313577593945244</v>
      </c>
      <c r="M249" s="433">
        <f>IF(I249="mol/L",H249,(K249/1000)/G250)</f>
        <v>1.8620871366628614E-7</v>
      </c>
      <c r="N249" s="178">
        <f t="shared" si="149"/>
        <v>-6.73</v>
      </c>
      <c r="O249" s="58" t="s">
        <v>33</v>
      </c>
      <c r="P249" s="600" t="s">
        <v>523</v>
      </c>
      <c r="Q249" s="100">
        <f>VLOOKUP(P249,References!$B$7:$F$252,5,FALSE)</f>
        <v>127</v>
      </c>
    </row>
    <row r="250" spans="1:17" x14ac:dyDescent="0.2">
      <c r="A250" s="868"/>
      <c r="B250" s="869"/>
      <c r="C250" s="832"/>
      <c r="D250" s="832"/>
      <c r="E250" s="58" t="s">
        <v>346</v>
      </c>
      <c r="F250" s="58" t="s">
        <v>348</v>
      </c>
      <c r="G250" s="58">
        <v>571.29999999999995</v>
      </c>
      <c r="H250" s="58">
        <v>-6.92</v>
      </c>
      <c r="I250" s="58" t="s">
        <v>521</v>
      </c>
      <c r="J250" s="58" t="s">
        <v>524</v>
      </c>
      <c r="K250" s="433">
        <f>IF(I250="mg/L",H250,IF(I250="log-mg/L",10^H250,IF(I250="g/L",H250*1000,IF(I250="ug/L",H250/1000,IF(I250="ng/mL",H250/1000,IF(I250="mol/L",H250*G247*1000,IF(I250="log-mol/L",(10^(H250))*G247*1000)))))))</f>
        <v>6.8685367149692686E-2</v>
      </c>
      <c r="L250" s="178">
        <f t="shared" ref="L250" si="154">IF(I250="log-mg/L",H250,LOG(K250))</f>
        <v>-1.1631357759394516</v>
      </c>
      <c r="M250" s="433">
        <f>IF(I250="mol/L",H250,(K250/1000)/G247)</f>
        <v>1.2022644346174111E-7</v>
      </c>
      <c r="N250" s="178">
        <f t="shared" ref="N250" si="155">IF(I250="log-mol/L",H250,LOG(M250))</f>
        <v>-6.92</v>
      </c>
      <c r="O250" s="58">
        <v>25</v>
      </c>
      <c r="P250" s="600" t="s">
        <v>525</v>
      </c>
      <c r="Q250" s="100">
        <f>VLOOKUP(P250,References!$B$7:$F$252,5,FALSE)</f>
        <v>61</v>
      </c>
    </row>
    <row r="251" spans="1:17" x14ac:dyDescent="0.2">
      <c r="A251" s="868"/>
      <c r="B251" s="869"/>
      <c r="C251" s="832"/>
      <c r="D251" s="832"/>
      <c r="E251" s="58" t="s">
        <v>346</v>
      </c>
      <c r="F251" s="58" t="s">
        <v>348</v>
      </c>
      <c r="G251" s="58">
        <v>571.29999999999995</v>
      </c>
      <c r="H251" s="354">
        <v>9.8799999999999997E-11</v>
      </c>
      <c r="I251" s="58" t="s">
        <v>509</v>
      </c>
      <c r="J251" s="58" t="s">
        <v>513</v>
      </c>
      <c r="K251" s="433">
        <f>IF(I251="mg/L",H251,IF(I251="log-mg/L",10^H251,IF(I251="g/L",H251*1000,IF(I251="ug/L",H251/1000,IF(I251="ng/mL",H251/1000,IF(I251="mol/L",H251*G251*1000,IF(I251="log-mol/L",(10^(H251))*G251*1000)))))))</f>
        <v>5.6444439999999994E-5</v>
      </c>
      <c r="L251" s="178">
        <f t="shared" si="148"/>
        <v>-4.2483788313518227</v>
      </c>
      <c r="M251" s="433">
        <f>IF(I251="mol/L",H251,(K251/1000)/G251)</f>
        <v>9.8799999999999997E-11</v>
      </c>
      <c r="N251" s="178">
        <f t="shared" si="149"/>
        <v>-10.005243055412372</v>
      </c>
      <c r="O251" s="58" t="s">
        <v>33</v>
      </c>
      <c r="P251" s="600" t="s">
        <v>511</v>
      </c>
      <c r="Q251" s="100">
        <f>VLOOKUP(P251,References!$B$7:$F$252,5,FALSE)</f>
        <v>36</v>
      </c>
    </row>
    <row r="252" spans="1:17" x14ac:dyDescent="0.2">
      <c r="A252" s="868"/>
      <c r="B252" s="869"/>
      <c r="C252" s="832"/>
      <c r="D252" s="832"/>
      <c r="E252" s="58" t="s">
        <v>346</v>
      </c>
      <c r="F252" s="58" t="s">
        <v>348</v>
      </c>
      <c r="G252" s="58">
        <v>571.29999999999995</v>
      </c>
      <c r="H252" s="354">
        <v>1.2000000000000001E-11</v>
      </c>
      <c r="I252" s="58" t="s">
        <v>509</v>
      </c>
      <c r="J252" s="58" t="s">
        <v>514</v>
      </c>
      <c r="K252" s="433">
        <f>IF(I252="mg/L",H252,IF(I252="log-mg/L",10^H252,IF(I252="g/L",H252*1000,IF(I252="ug/L",H252/1000,IF(I252="ng/mL",H252/1000,IF(I252="mol/L",H252*G252*1000,IF(I252="log-mol/L",(10^(H252))*G252*1000)))))))</f>
        <v>6.8556000000000001E-6</v>
      </c>
      <c r="L252" s="178">
        <f t="shared" ref="L252" si="156">IF(I252="log-mg/L",H252,LOG(K252))</f>
        <v>-5.1639545298918259</v>
      </c>
      <c r="M252" s="433">
        <f>IF(I252="mol/L",H252,(K252/1000)/G252)</f>
        <v>1.2000000000000001E-11</v>
      </c>
      <c r="N252" s="178">
        <f t="shared" ref="N252" si="157">IF(I252="log-mol/L",H252,LOG(M252))</f>
        <v>-10.920818753952375</v>
      </c>
      <c r="O252" s="58" t="s">
        <v>33</v>
      </c>
      <c r="P252" s="600" t="s">
        <v>511</v>
      </c>
      <c r="Q252" s="100">
        <f>VLOOKUP(P252,References!$B$7:$F$252,5,FALSE)</f>
        <v>36</v>
      </c>
    </row>
    <row r="253" spans="1:17" x14ac:dyDescent="0.2">
      <c r="A253" s="868"/>
      <c r="B253" s="869"/>
      <c r="C253" s="832"/>
      <c r="D253" s="832"/>
      <c r="E253" s="58" t="s">
        <v>346</v>
      </c>
      <c r="F253" s="58" t="s">
        <v>348</v>
      </c>
      <c r="G253" s="58">
        <v>571.29999999999995</v>
      </c>
      <c r="H253" s="354">
        <v>7.0299999999999998E-7</v>
      </c>
      <c r="I253" s="58" t="s">
        <v>509</v>
      </c>
      <c r="J253" s="58" t="s">
        <v>512</v>
      </c>
      <c r="K253" s="433">
        <f>IF(I253="mg/L",H253,IF(I253="log-mg/L",10^H253,IF(I253="g/L",H253*1000,IF(I253="ug/L",H253/1000,IF(I253="ng/mL",H253/1000,IF(I253="mol/L",H253*G253*1000,IF(I253="log-mol/L",(10^(H253))*G253*1000)))))))</f>
        <v>0.40162389999999998</v>
      </c>
      <c r="L253" s="178">
        <f t="shared" si="148"/>
        <v>-0.39618045091962706</v>
      </c>
      <c r="M253" s="433">
        <f>IF(I253="mol/L",H253,(K253/1000)/G253)</f>
        <v>7.0299999999999998E-7</v>
      </c>
      <c r="N253" s="178">
        <f t="shared" si="149"/>
        <v>-6.1530446749801762</v>
      </c>
      <c r="O253" s="58" t="s">
        <v>33</v>
      </c>
      <c r="P253" s="600" t="s">
        <v>511</v>
      </c>
      <c r="Q253" s="100">
        <f>VLOOKUP(P253,References!$B$7:$F$252,5,FALSE)</f>
        <v>36</v>
      </c>
    </row>
    <row r="254" spans="1:17" ht="17" thickBot="1" x14ac:dyDescent="0.25">
      <c r="A254" s="868"/>
      <c r="B254" s="869"/>
      <c r="C254" s="832"/>
      <c r="D254" s="832"/>
      <c r="E254" s="58" t="s">
        <v>346</v>
      </c>
      <c r="F254" s="58" t="s">
        <v>348</v>
      </c>
      <c r="G254" s="58">
        <v>571.29999999999995</v>
      </c>
      <c r="H254" s="354">
        <v>2.6600000000000003E-7</v>
      </c>
      <c r="I254" s="58" t="s">
        <v>509</v>
      </c>
      <c r="J254" s="58" t="s">
        <v>515</v>
      </c>
      <c r="K254" s="433">
        <f>IF(I254="mg/L",H254,IF(I254="log-mg/L",10^H254,IF(I254="g/L",H254*1000,IF(I254="ug/L",H254/1000,IF(I254="ng/mL",H254/1000,IF(I254="mol/L",H254*G254*1000,IF(I254="log-mol/L",(10^(H254))*G254*1000)))))))</f>
        <v>0.15196580000000001</v>
      </c>
      <c r="L254" s="178">
        <f t="shared" si="148"/>
        <v>-0.81825413930838398</v>
      </c>
      <c r="M254" s="433">
        <f>IF(I254="mol/L",H254,(K254/1000)/G254)</f>
        <v>2.6600000000000003E-7</v>
      </c>
      <c r="N254" s="178">
        <f t="shared" si="149"/>
        <v>-6.575118363368933</v>
      </c>
      <c r="O254" s="58">
        <v>25</v>
      </c>
      <c r="P254" s="600" t="s">
        <v>511</v>
      </c>
      <c r="Q254" s="100">
        <f>VLOOKUP(P254,References!$B$7:$F$252,5,FALSE)</f>
        <v>36</v>
      </c>
    </row>
    <row r="255" spans="1:17" ht="17" thickBot="1" x14ac:dyDescent="0.25">
      <c r="A255" s="83" t="s">
        <v>353</v>
      </c>
      <c r="B255" s="176" t="s">
        <v>354</v>
      </c>
      <c r="C255" s="82"/>
      <c r="D255" s="82"/>
      <c r="E255" s="79"/>
      <c r="F255" s="175"/>
      <c r="G255" s="175"/>
      <c r="H255" s="175"/>
      <c r="I255" s="175"/>
      <c r="J255" s="175"/>
      <c r="K255" s="594"/>
      <c r="L255" s="276"/>
      <c r="M255" s="594"/>
      <c r="N255" s="276"/>
      <c r="O255" s="175"/>
      <c r="P255" s="277"/>
      <c r="Q255" s="278"/>
    </row>
    <row r="256" spans="1:17" x14ac:dyDescent="0.2">
      <c r="A256" s="830" t="s">
        <v>355</v>
      </c>
      <c r="B256" s="832" t="s">
        <v>356</v>
      </c>
      <c r="C256" s="832">
        <v>557.20000000000005</v>
      </c>
      <c r="D256" s="832" t="s">
        <v>358</v>
      </c>
      <c r="E256" s="58" t="s">
        <v>356</v>
      </c>
      <c r="F256" s="58" t="s">
        <v>358</v>
      </c>
      <c r="G256" s="58">
        <v>557.20000000000005</v>
      </c>
      <c r="H256" s="354">
        <v>9.3099999999999996E-7</v>
      </c>
      <c r="I256" s="58" t="s">
        <v>509</v>
      </c>
      <c r="J256" s="58" t="s">
        <v>512</v>
      </c>
      <c r="K256" s="433">
        <f t="shared" ref="K256:K265" si="158">IF(I256="mg/L",H256,IF(I256="log-mg/L",10^H256,IF(I256="g/L",H256*1000,IF(I256="ug/L",H256/1000,IF(I256="ng/mL",H256/1000,IF(I256="mol/L",H256*G256*1000,IF(I256="log-mol/L",(10^(H256))*G256*1000)))))))</f>
        <v>0.51875320000000003</v>
      </c>
      <c r="L256" s="178">
        <f t="shared" ref="L256:L265" si="159">IF(I256="log-mg/L",H256,LOG(K256))</f>
        <v>-0.28503921126673148</v>
      </c>
      <c r="M256" s="433">
        <f t="shared" ref="M256:M265" si="160">IF(I256="mol/L",H256,(K256/1000)/G256)</f>
        <v>9.3099999999999996E-7</v>
      </c>
      <c r="N256" s="178">
        <f t="shared" ref="N256:N265" si="161">IF(I256="log-mol/L",H256,LOG(M256))</f>
        <v>-6.0310503190186573</v>
      </c>
      <c r="O256" s="58" t="s">
        <v>33</v>
      </c>
      <c r="P256" s="600" t="s">
        <v>511</v>
      </c>
      <c r="Q256" s="100">
        <f>VLOOKUP(P256,References!$B$7:$F$252,5,FALSE)</f>
        <v>36</v>
      </c>
    </row>
    <row r="257" spans="1:17" x14ac:dyDescent="0.2">
      <c r="A257" s="830"/>
      <c r="B257" s="832"/>
      <c r="C257" s="832"/>
      <c r="D257" s="832"/>
      <c r="E257" s="58" t="s">
        <v>356</v>
      </c>
      <c r="F257" s="58" t="s">
        <v>358</v>
      </c>
      <c r="G257" s="58">
        <v>557.20000000000005</v>
      </c>
      <c r="H257" s="354">
        <v>1.1999999999999999E-7</v>
      </c>
      <c r="I257" s="58" t="s">
        <v>509</v>
      </c>
      <c r="J257" s="58" t="s">
        <v>514</v>
      </c>
      <c r="K257" s="433">
        <f t="shared" si="158"/>
        <v>6.6864000000000007E-2</v>
      </c>
      <c r="L257" s="178">
        <f t="shared" si="159"/>
        <v>-1.1748076462004493</v>
      </c>
      <c r="M257" s="433">
        <f t="shared" si="160"/>
        <v>1.1999999999999999E-7</v>
      </c>
      <c r="N257" s="178">
        <f t="shared" si="161"/>
        <v>-6.9208187539523749</v>
      </c>
      <c r="O257" s="58" t="s">
        <v>33</v>
      </c>
      <c r="P257" s="600" t="s">
        <v>511</v>
      </c>
      <c r="Q257" s="100">
        <f>VLOOKUP(P257,References!$B$7:$F$252,5,FALSE)</f>
        <v>36</v>
      </c>
    </row>
    <row r="258" spans="1:17" x14ac:dyDescent="0.2">
      <c r="A258" s="830"/>
      <c r="B258" s="832"/>
      <c r="C258" s="832"/>
      <c r="D258" s="834"/>
      <c r="E258" s="59" t="s">
        <v>356</v>
      </c>
      <c r="F258" s="59" t="s">
        <v>358</v>
      </c>
      <c r="G258" s="59">
        <v>557.20000000000005</v>
      </c>
      <c r="H258" s="327">
        <v>2.1800000000000001E-5</v>
      </c>
      <c r="I258" s="59" t="s">
        <v>509</v>
      </c>
      <c r="J258" s="59" t="s">
        <v>515</v>
      </c>
      <c r="K258" s="469">
        <f t="shared" si="158"/>
        <v>12.146960000000002</v>
      </c>
      <c r="L258" s="183">
        <f t="shared" si="159"/>
        <v>1.0844676013565309</v>
      </c>
      <c r="M258" s="469">
        <f t="shared" si="160"/>
        <v>2.1800000000000001E-5</v>
      </c>
      <c r="N258" s="183">
        <f t="shared" si="161"/>
        <v>-4.6615435063953949</v>
      </c>
      <c r="O258" s="59">
        <v>25</v>
      </c>
      <c r="P258" s="598" t="s">
        <v>511</v>
      </c>
      <c r="Q258" s="100">
        <f>VLOOKUP(P258,References!$B$7:$F$252,5,FALSE)</f>
        <v>36</v>
      </c>
    </row>
    <row r="259" spans="1:17" x14ac:dyDescent="0.2">
      <c r="A259" s="849" t="s">
        <v>362</v>
      </c>
      <c r="B259" s="833" t="s">
        <v>363</v>
      </c>
      <c r="C259" s="833">
        <v>571.20000000000005</v>
      </c>
      <c r="D259" s="832" t="s">
        <v>365</v>
      </c>
      <c r="E259" s="58" t="s">
        <v>363</v>
      </c>
      <c r="F259" s="58" t="s">
        <v>365</v>
      </c>
      <c r="G259" s="58">
        <v>571.20000000000005</v>
      </c>
      <c r="H259" s="354">
        <v>1.2100000000000001E-6</v>
      </c>
      <c r="I259" s="58" t="s">
        <v>509</v>
      </c>
      <c r="J259" s="58" t="s">
        <v>512</v>
      </c>
      <c r="K259" s="433">
        <f t="shared" si="158"/>
        <v>0.6911520000000001</v>
      </c>
      <c r="L259" s="178">
        <f t="shared" si="159"/>
        <v>-0.16042643091543188</v>
      </c>
      <c r="M259" s="433">
        <f t="shared" si="160"/>
        <v>1.2100000000000001E-6</v>
      </c>
      <c r="N259" s="178">
        <f t="shared" si="161"/>
        <v>-5.9172146296835502</v>
      </c>
      <c r="O259" s="58" t="s">
        <v>33</v>
      </c>
      <c r="P259" s="600" t="s">
        <v>511</v>
      </c>
      <c r="Q259" s="121">
        <f>VLOOKUP(P259,References!$B$7:$F$252,5,FALSE)</f>
        <v>36</v>
      </c>
    </row>
    <row r="260" spans="1:17" x14ac:dyDescent="0.2">
      <c r="A260" s="830"/>
      <c r="B260" s="832"/>
      <c r="C260" s="832"/>
      <c r="D260" s="832"/>
      <c r="E260" s="58" t="s">
        <v>363</v>
      </c>
      <c r="F260" s="58" t="s">
        <v>365</v>
      </c>
      <c r="G260" s="58">
        <v>571.20000000000005</v>
      </c>
      <c r="H260" s="354">
        <v>4.4999999999999999E-8</v>
      </c>
      <c r="I260" s="58" t="s">
        <v>509</v>
      </c>
      <c r="J260" s="58" t="s">
        <v>514</v>
      </c>
      <c r="K260" s="433">
        <f t="shared" si="158"/>
        <v>2.5704000000000005E-2</v>
      </c>
      <c r="L260" s="178">
        <f t="shared" si="159"/>
        <v>-1.5899992874565383</v>
      </c>
      <c r="M260" s="433">
        <f t="shared" si="160"/>
        <v>4.4999999999999999E-8</v>
      </c>
      <c r="N260" s="178">
        <f t="shared" si="161"/>
        <v>-7.346787486224656</v>
      </c>
      <c r="O260" s="58" t="s">
        <v>33</v>
      </c>
      <c r="P260" s="600" t="s">
        <v>511</v>
      </c>
      <c r="Q260" s="100">
        <f>VLOOKUP(P260,References!$B$7:$F$252,5,FALSE)</f>
        <v>36</v>
      </c>
    </row>
    <row r="261" spans="1:17" x14ac:dyDescent="0.2">
      <c r="A261" s="847"/>
      <c r="B261" s="834"/>
      <c r="C261" s="834"/>
      <c r="D261" s="834"/>
      <c r="E261" s="59" t="s">
        <v>363</v>
      </c>
      <c r="F261" s="59" t="s">
        <v>365</v>
      </c>
      <c r="G261" s="59">
        <v>571.20000000000005</v>
      </c>
      <c r="H261" s="327">
        <v>3.9299999999999996E-6</v>
      </c>
      <c r="I261" s="59" t="s">
        <v>509</v>
      </c>
      <c r="J261" s="59" t="s">
        <v>515</v>
      </c>
      <c r="K261" s="469">
        <f t="shared" si="158"/>
        <v>2.2448160000000001</v>
      </c>
      <c r="L261" s="183">
        <f t="shared" si="159"/>
        <v>0.35118074914354469</v>
      </c>
      <c r="M261" s="469">
        <f t="shared" si="160"/>
        <v>3.9299999999999996E-6</v>
      </c>
      <c r="N261" s="183">
        <f t="shared" si="161"/>
        <v>-5.405607449624573</v>
      </c>
      <c r="O261" s="59">
        <v>25</v>
      </c>
      <c r="P261" s="598" t="s">
        <v>511</v>
      </c>
      <c r="Q261" s="122">
        <f>VLOOKUP(P261,References!$B$7:$F$252,5,FALSE)</f>
        <v>36</v>
      </c>
    </row>
    <row r="262" spans="1:17" x14ac:dyDescent="0.2">
      <c r="A262" s="830" t="s">
        <v>369</v>
      </c>
      <c r="B262" s="832" t="s">
        <v>370</v>
      </c>
      <c r="C262" s="832">
        <v>585.20000000000005</v>
      </c>
      <c r="D262" s="832" t="s">
        <v>372</v>
      </c>
      <c r="E262" s="58" t="s">
        <v>370</v>
      </c>
      <c r="F262" s="58" t="s">
        <v>372</v>
      </c>
      <c r="G262" s="58">
        <v>585.20000000000005</v>
      </c>
      <c r="H262" s="354">
        <v>1.2400000000000001E-10</v>
      </c>
      <c r="I262" s="58" t="s">
        <v>509</v>
      </c>
      <c r="J262" s="58" t="s">
        <v>513</v>
      </c>
      <c r="K262" s="433">
        <f t="shared" si="158"/>
        <v>7.2564800000000021E-5</v>
      </c>
      <c r="L262" s="178">
        <f t="shared" si="159"/>
        <v>-4.1392739973844916</v>
      </c>
      <c r="M262" s="433">
        <f t="shared" si="160"/>
        <v>1.2400000000000001E-10</v>
      </c>
      <c r="N262" s="178">
        <f t="shared" si="161"/>
        <v>-9.9065783148377644</v>
      </c>
      <c r="O262" s="58" t="s">
        <v>33</v>
      </c>
      <c r="P262" s="600" t="s">
        <v>511</v>
      </c>
      <c r="Q262" s="100">
        <f>VLOOKUP(P262,References!$B$7:$F$252,5,FALSE)</f>
        <v>36</v>
      </c>
    </row>
    <row r="263" spans="1:17" x14ac:dyDescent="0.2">
      <c r="A263" s="830"/>
      <c r="B263" s="832"/>
      <c r="C263" s="832"/>
      <c r="D263" s="832"/>
      <c r="E263" s="58" t="s">
        <v>370</v>
      </c>
      <c r="F263" s="58" t="s">
        <v>372</v>
      </c>
      <c r="G263" s="58">
        <v>585.20000000000005</v>
      </c>
      <c r="H263" s="354">
        <v>8.5099999999999998E-7</v>
      </c>
      <c r="I263" s="58" t="s">
        <v>509</v>
      </c>
      <c r="J263" s="58" t="s">
        <v>512</v>
      </c>
      <c r="K263" s="433">
        <f t="shared" si="158"/>
        <v>0.49800519999999998</v>
      </c>
      <c r="L263" s="178">
        <f t="shared" si="159"/>
        <v>-0.30276612246213891</v>
      </c>
      <c r="M263" s="433">
        <f t="shared" si="160"/>
        <v>8.5099999999999998E-7</v>
      </c>
      <c r="N263" s="178">
        <f t="shared" si="161"/>
        <v>-6.070070439915412</v>
      </c>
      <c r="O263" s="58" t="s">
        <v>33</v>
      </c>
      <c r="P263" s="600" t="s">
        <v>511</v>
      </c>
      <c r="Q263" s="100">
        <f>VLOOKUP(P263,References!$B$7:$F$252,5,FALSE)</f>
        <v>36</v>
      </c>
    </row>
    <row r="264" spans="1:17" x14ac:dyDescent="0.2">
      <c r="A264" s="830"/>
      <c r="B264" s="832"/>
      <c r="C264" s="832"/>
      <c r="D264" s="832"/>
      <c r="E264" s="58" t="s">
        <v>370</v>
      </c>
      <c r="F264" s="58" t="s">
        <v>372</v>
      </c>
      <c r="G264" s="58">
        <v>585.20000000000005</v>
      </c>
      <c r="H264" s="354">
        <v>1.9000000000000001E-8</v>
      </c>
      <c r="I264" s="58" t="s">
        <v>509</v>
      </c>
      <c r="J264" s="58" t="s">
        <v>514</v>
      </c>
      <c r="K264" s="433">
        <f t="shared" si="158"/>
        <v>1.1118800000000002E-2</v>
      </c>
      <c r="L264" s="178">
        <f t="shared" si="159"/>
        <v>-1.9539420815938977</v>
      </c>
      <c r="M264" s="433">
        <f t="shared" si="160"/>
        <v>1.9000000000000001E-8</v>
      </c>
      <c r="N264" s="178">
        <f t="shared" si="161"/>
        <v>-7.7212463990471711</v>
      </c>
      <c r="O264" s="58" t="s">
        <v>33</v>
      </c>
      <c r="P264" s="600" t="s">
        <v>511</v>
      </c>
      <c r="Q264" s="100">
        <f>VLOOKUP(P264,References!$B$7:$F$252,5,FALSE)</f>
        <v>36</v>
      </c>
    </row>
    <row r="265" spans="1:17" ht="17" thickBot="1" x14ac:dyDescent="0.25">
      <c r="A265" s="830"/>
      <c r="B265" s="832"/>
      <c r="C265" s="832"/>
      <c r="D265" s="832"/>
      <c r="E265" s="58" t="s">
        <v>370</v>
      </c>
      <c r="F265" s="58" t="s">
        <v>372</v>
      </c>
      <c r="G265" s="58">
        <v>585.20000000000005</v>
      </c>
      <c r="H265" s="354">
        <v>3.72E-6</v>
      </c>
      <c r="I265" s="58" t="s">
        <v>509</v>
      </c>
      <c r="J265" s="58" t="s">
        <v>515</v>
      </c>
      <c r="K265" s="433">
        <f t="shared" si="158"/>
        <v>2.1769440000000002</v>
      </c>
      <c r="L265" s="178">
        <f t="shared" si="159"/>
        <v>0.33784725733517079</v>
      </c>
      <c r="M265" s="433">
        <f t="shared" si="160"/>
        <v>3.72E-6</v>
      </c>
      <c r="N265" s="178">
        <f t="shared" si="161"/>
        <v>-5.4294570601181027</v>
      </c>
      <c r="O265" s="58">
        <v>25</v>
      </c>
      <c r="P265" s="600" t="s">
        <v>511</v>
      </c>
      <c r="Q265" s="100">
        <f>VLOOKUP(P265,References!$B$7:$F$252,5,FALSE)</f>
        <v>36</v>
      </c>
    </row>
    <row r="266" spans="1:17" ht="17" thickBot="1" x14ac:dyDescent="0.25">
      <c r="A266" s="78" t="s">
        <v>376</v>
      </c>
      <c r="B266" s="158" t="s">
        <v>377</v>
      </c>
      <c r="C266" s="82"/>
      <c r="D266" s="82"/>
      <c r="E266" s="79"/>
      <c r="F266" s="175"/>
      <c r="G266" s="175"/>
      <c r="H266" s="175"/>
      <c r="I266" s="175"/>
      <c r="J266" s="175"/>
      <c r="K266" s="594"/>
      <c r="L266" s="276"/>
      <c r="M266" s="594"/>
      <c r="N266" s="276"/>
      <c r="O266" s="175"/>
      <c r="P266" s="277"/>
      <c r="Q266" s="278"/>
    </row>
    <row r="267" spans="1:17" x14ac:dyDescent="0.2">
      <c r="A267" s="868" t="s">
        <v>378</v>
      </c>
      <c r="B267" s="869" t="s">
        <v>379</v>
      </c>
      <c r="C267" s="832">
        <v>264.10000000000002</v>
      </c>
      <c r="D267" s="832" t="s">
        <v>380</v>
      </c>
      <c r="E267" s="134" t="s">
        <v>379</v>
      </c>
      <c r="F267" s="58" t="s">
        <v>380</v>
      </c>
      <c r="G267" s="58">
        <v>264.10000000000002</v>
      </c>
      <c r="H267" s="58">
        <v>974</v>
      </c>
      <c r="I267" s="58" t="s">
        <v>507</v>
      </c>
      <c r="J267" s="58" t="s">
        <v>27</v>
      </c>
      <c r="K267" s="433">
        <f>IF(I267="mg/L",H267,IF(I267="log-mg/L",10^H267,IF(I267="g/L",H267*1000,IF(I267="ug/L",H267/1000,IF(I267="ng/mL",H267/1000,IF(I267="mol/L",H267*G267*1000,IF(I267="log-mol/L",(10^(H267))*G267*1000)))))))</f>
        <v>974</v>
      </c>
      <c r="L267" s="178">
        <f t="shared" ref="L267:L303" si="162">IF(I267="log-mg/L",H267,LOG(K267))</f>
        <v>2.9885589568786157</v>
      </c>
      <c r="M267" s="433">
        <f>IF(I267="mol/L",H267,(K267/1000)/G267)</f>
        <v>3.6879969708443769E-3</v>
      </c>
      <c r="N267" s="178">
        <f t="shared" ref="N267:N303" si="163">IF(I267="log-mol/L",H267,LOG(M267))</f>
        <v>-2.4332094443283085</v>
      </c>
      <c r="O267" s="58">
        <v>22.5</v>
      </c>
      <c r="P267" s="600" t="s">
        <v>536</v>
      </c>
      <c r="Q267" s="100">
        <f>VLOOKUP(P267,References!$B$7:$F$252,5,FALSE)</f>
        <v>77</v>
      </c>
    </row>
    <row r="268" spans="1:17" x14ac:dyDescent="0.2">
      <c r="A268" s="868"/>
      <c r="B268" s="869"/>
      <c r="C268" s="832"/>
      <c r="D268" s="832"/>
      <c r="E268" s="134" t="s">
        <v>379</v>
      </c>
      <c r="F268" s="58" t="s">
        <v>380</v>
      </c>
      <c r="G268" s="58">
        <v>264.10000000000002</v>
      </c>
      <c r="H268" s="58">
        <v>2.99</v>
      </c>
      <c r="I268" s="58" t="s">
        <v>518</v>
      </c>
      <c r="J268" s="58" t="s">
        <v>27</v>
      </c>
      <c r="K268" s="433">
        <f>IF(I268="mg/L",H268,IF(I268="log-mg/L",10^H268,IF(I268="g/L",H268*1000,IF(I268="ug/L",H268/1000,IF(I268="ng/mL",H268/1000,IF(I268="mol/L",H268*G269*1000,IF(I268="log-mol/L",(10^(H268))*G269*1000)))))))</f>
        <v>977.23722095581138</v>
      </c>
      <c r="L268" s="178">
        <f t="shared" si="162"/>
        <v>2.99</v>
      </c>
      <c r="M268" s="433">
        <f>IF(I268="mol/L",H268,(K268/1000)/G269)</f>
        <v>3.7002545284203379E-3</v>
      </c>
      <c r="N268" s="178">
        <f t="shared" si="163"/>
        <v>-2.4317684012069236</v>
      </c>
      <c r="O268" s="58">
        <v>25</v>
      </c>
      <c r="P268" s="600" t="s">
        <v>520</v>
      </c>
      <c r="Q268" s="100">
        <f>VLOOKUP(P268,References!$B$7:$F$252,5,FALSE)</f>
        <v>14</v>
      </c>
    </row>
    <row r="269" spans="1:17" x14ac:dyDescent="0.2">
      <c r="A269" s="868"/>
      <c r="B269" s="869"/>
      <c r="C269" s="832"/>
      <c r="D269" s="832"/>
      <c r="E269" s="134" t="s">
        <v>379</v>
      </c>
      <c r="F269" s="58" t="s">
        <v>380</v>
      </c>
      <c r="G269" s="58">
        <v>264.10000000000002</v>
      </c>
      <c r="H269" s="58">
        <v>1.94</v>
      </c>
      <c r="I269" s="58" t="s">
        <v>518</v>
      </c>
      <c r="J269" s="58" t="s">
        <v>519</v>
      </c>
      <c r="K269" s="433">
        <f>IF(I269="mg/L",H269,IF(I269="log-mg/L",10^H269,IF(I269="g/L",H269*1000,IF(I269="ug/L",H269/1000,IF(I269="ng/mL",H269/1000,IF(I269="mol/L",H269*G270*1000,IF(I269="log-mol/L",(10^(H269))*G270*1000)))))))</f>
        <v>87.096358995608071</v>
      </c>
      <c r="L269" s="178">
        <f t="shared" si="162"/>
        <v>1.94</v>
      </c>
      <c r="M269" s="433">
        <f>IF(I269="mol/L",H269,(K269/1000)/G270)</f>
        <v>3.2978553197882642E-4</v>
      </c>
      <c r="N269" s="178">
        <f t="shared" si="163"/>
        <v>-3.4817684012069239</v>
      </c>
      <c r="O269" s="58">
        <v>25</v>
      </c>
      <c r="P269" s="600" t="s">
        <v>520</v>
      </c>
      <c r="Q269" s="100">
        <f>VLOOKUP(P269,References!$B$7:$F$252,5,FALSE)</f>
        <v>14</v>
      </c>
    </row>
    <row r="270" spans="1:17" x14ac:dyDescent="0.2">
      <c r="A270" s="868"/>
      <c r="B270" s="869"/>
      <c r="C270" s="832"/>
      <c r="D270" s="832"/>
      <c r="E270" s="134" t="s">
        <v>379</v>
      </c>
      <c r="F270" s="58" t="s">
        <v>380</v>
      </c>
      <c r="G270" s="58">
        <v>264.10000000000002</v>
      </c>
      <c r="H270" s="58">
        <v>0.27</v>
      </c>
      <c r="I270" s="58" t="s">
        <v>521</v>
      </c>
      <c r="J270" s="58" t="s">
        <v>522</v>
      </c>
      <c r="K270" s="433">
        <f>IF(I270="mg/L",H270,IF(I270="log-mg/L",10^H270,IF(I270="g/L",H270*1000,IF(I270="ug/L",H270/1000,IF(I270="ng/mL",H270/1000,IF(I270="mol/L",H270*G271*1000,IF(I270="log-mol/L",(10^(H270))*G271*1000)))))))</f>
        <v>491777.21279266337</v>
      </c>
      <c r="L270" s="178">
        <f t="shared" si="162"/>
        <v>5.6917684012069243</v>
      </c>
      <c r="M270" s="433">
        <f>IF(I270="mol/L",H270,(K270/1000)/G271)</f>
        <v>1.8620871366628675</v>
      </c>
      <c r="N270" s="178">
        <f t="shared" si="163"/>
        <v>0.27</v>
      </c>
      <c r="O270" s="58" t="s">
        <v>33</v>
      </c>
      <c r="P270" s="600" t="s">
        <v>523</v>
      </c>
      <c r="Q270" s="100">
        <f>VLOOKUP(P270,References!$B$7:$F$252,5,FALSE)</f>
        <v>127</v>
      </c>
    </row>
    <row r="271" spans="1:17" x14ac:dyDescent="0.2">
      <c r="A271" s="868"/>
      <c r="B271" s="869"/>
      <c r="C271" s="832"/>
      <c r="D271" s="832"/>
      <c r="E271" s="134" t="s">
        <v>379</v>
      </c>
      <c r="F271" s="58" t="s">
        <v>380</v>
      </c>
      <c r="G271" s="58">
        <v>264.10000000000002</v>
      </c>
      <c r="H271" s="58">
        <v>-1.99</v>
      </c>
      <c r="I271" s="58" t="s">
        <v>521</v>
      </c>
      <c r="J271" s="58" t="s">
        <v>524</v>
      </c>
      <c r="K271" s="433">
        <f>IF(I271="mg/L",H271,IF(I271="log-mg/L",10^H271,IF(I271="g/L",H271*1000,IF(I271="ug/L",H271/1000,IF(I271="ng/mL",H271/1000,IF(I271="mol/L",H271*G268*1000,IF(I271="log-mol/L",(10^(H271))*G268*1000)))))))</f>
        <v>2702.51679261347</v>
      </c>
      <c r="L271" s="178">
        <f t="shared" ref="L271" si="164">IF(I271="log-mg/L",H271,LOG(K271))</f>
        <v>3.4317684012069236</v>
      </c>
      <c r="M271" s="433">
        <f>IF(I271="mol/L",H271,(K271/1000)/G268)</f>
        <v>1.0232929922807535E-2</v>
      </c>
      <c r="N271" s="178">
        <f t="shared" ref="N271" si="165">IF(I271="log-mol/L",H271,LOG(M271))</f>
        <v>-1.99</v>
      </c>
      <c r="O271" s="58">
        <v>25</v>
      </c>
      <c r="P271" s="600" t="s">
        <v>525</v>
      </c>
      <c r="Q271" s="100">
        <f>VLOOKUP(P271,References!$B$7:$F$252,5,FALSE)</f>
        <v>61</v>
      </c>
    </row>
    <row r="272" spans="1:17" x14ac:dyDescent="0.2">
      <c r="A272" s="868"/>
      <c r="B272" s="869"/>
      <c r="C272" s="832"/>
      <c r="D272" s="832"/>
      <c r="E272" s="134" t="s">
        <v>379</v>
      </c>
      <c r="F272" s="58" t="s">
        <v>380</v>
      </c>
      <c r="G272" s="58">
        <v>264.10000000000002</v>
      </c>
      <c r="H272" s="354">
        <v>1.8000000000000001E-4</v>
      </c>
      <c r="I272" s="58" t="s">
        <v>509</v>
      </c>
      <c r="J272" s="58" t="s">
        <v>513</v>
      </c>
      <c r="K272" s="433">
        <f>IF(I272="mg/L",H272,IF(I272="log-mg/L",10^H272,IF(I272="g/L",H272*1000,IF(I272="ug/L",H272/1000,IF(I272="ng/mL",H272/1000,IF(I272="mol/L",H272*G272*1000,IF(I272="log-mol/L",(10^(H272))*G272*1000)))))))</f>
        <v>47.538000000000004</v>
      </c>
      <c r="L272" s="178">
        <f t="shared" si="162"/>
        <v>1.6770409063102301</v>
      </c>
      <c r="M272" s="433">
        <f>IF(I272="mol/L",H272,(K272/1000)/G272)</f>
        <v>1.8000000000000001E-4</v>
      </c>
      <c r="N272" s="178">
        <f t="shared" si="163"/>
        <v>-3.744727494896694</v>
      </c>
      <c r="O272" s="58" t="s">
        <v>33</v>
      </c>
      <c r="P272" s="600" t="s">
        <v>511</v>
      </c>
      <c r="Q272" s="100">
        <f>VLOOKUP(P272,References!$B$7:$F$252,5,FALSE)</f>
        <v>36</v>
      </c>
    </row>
    <row r="273" spans="1:17" x14ac:dyDescent="0.2">
      <c r="A273" s="868"/>
      <c r="B273" s="869"/>
      <c r="C273" s="832"/>
      <c r="D273" s="832"/>
      <c r="E273" s="134" t="s">
        <v>379</v>
      </c>
      <c r="F273" s="58" t="s">
        <v>380</v>
      </c>
      <c r="G273" s="58">
        <v>264.10000000000002</v>
      </c>
      <c r="H273" s="354">
        <v>7.1000000000000004E-3</v>
      </c>
      <c r="I273" s="58" t="s">
        <v>509</v>
      </c>
      <c r="J273" s="58" t="s">
        <v>514</v>
      </c>
      <c r="K273" s="433">
        <f>IF(I273="mg/L",H273,IF(I273="log-mg/L",10^H273,IF(I273="g/L",H273*1000,IF(I273="ug/L",H273/1000,IF(I273="ng/mL",H273/1000,IF(I273="mol/L",H273*G273*1000,IF(I273="log-mol/L",(10^(H273))*G273*1000)))))))</f>
        <v>1875.1100000000004</v>
      </c>
      <c r="L273" s="178">
        <f t="shared" ref="L273" si="166">IF(I273="log-mg/L",H273,LOG(K273))</f>
        <v>3.2730267499259993</v>
      </c>
      <c r="M273" s="433">
        <f>IF(I273="mol/L",H273,(K273/1000)/G273)</f>
        <v>7.1000000000000004E-3</v>
      </c>
      <c r="N273" s="178">
        <f t="shared" ref="N273" si="167">IF(I273="log-mol/L",H273,LOG(M273))</f>
        <v>-2.1487416512809245</v>
      </c>
      <c r="O273" s="58" t="s">
        <v>33</v>
      </c>
      <c r="P273" s="600" t="s">
        <v>511</v>
      </c>
      <c r="Q273" s="100">
        <f>VLOOKUP(P273,References!$B$7:$F$252,5,FALSE)</f>
        <v>36</v>
      </c>
    </row>
    <row r="274" spans="1:17" x14ac:dyDescent="0.2">
      <c r="A274" s="868"/>
      <c r="B274" s="869"/>
      <c r="C274" s="832"/>
      <c r="D274" s="832"/>
      <c r="E274" s="134" t="s">
        <v>379</v>
      </c>
      <c r="F274" s="58" t="s">
        <v>380</v>
      </c>
      <c r="G274" s="58">
        <v>264.10000000000002</v>
      </c>
      <c r="H274" s="354">
        <v>1.6200000000000001E-4</v>
      </c>
      <c r="I274" s="58" t="s">
        <v>509</v>
      </c>
      <c r="J274" s="58" t="s">
        <v>512</v>
      </c>
      <c r="K274" s="433">
        <f>IF(I274="mg/L",H274,IF(I274="log-mg/L",10^H274,IF(I274="g/L",H274*1000,IF(I274="ug/L",H274/1000,IF(I274="ng/mL",H274/1000,IF(I274="mol/L",H274*G274*1000,IF(I274="log-mol/L",(10^(H274))*G274*1000)))))))</f>
        <v>42.784200000000006</v>
      </c>
      <c r="L274" s="178">
        <f t="shared" si="162"/>
        <v>1.631283415749555</v>
      </c>
      <c r="M274" s="433">
        <f>IF(I274="mol/L",H274,(K274/1000)/G274)</f>
        <v>1.6200000000000001E-4</v>
      </c>
      <c r="N274" s="178">
        <f t="shared" si="163"/>
        <v>-3.7904849854573692</v>
      </c>
      <c r="O274" s="58" t="s">
        <v>33</v>
      </c>
      <c r="P274" s="600" t="s">
        <v>511</v>
      </c>
      <c r="Q274" s="100">
        <f>VLOOKUP(P274,References!$B$7:$F$252,5,FALSE)</f>
        <v>36</v>
      </c>
    </row>
    <row r="275" spans="1:17" x14ac:dyDescent="0.2">
      <c r="A275" s="868"/>
      <c r="B275" s="869"/>
      <c r="C275" s="832"/>
      <c r="D275" s="834"/>
      <c r="E275" s="195" t="s">
        <v>379</v>
      </c>
      <c r="F275" s="59" t="s">
        <v>380</v>
      </c>
      <c r="G275" s="59">
        <v>264.10000000000002</v>
      </c>
      <c r="H275" s="327">
        <v>1.9E-3</v>
      </c>
      <c r="I275" s="59" t="s">
        <v>509</v>
      </c>
      <c r="J275" s="59" t="s">
        <v>515</v>
      </c>
      <c r="K275" s="469">
        <f>IF(I275="mg/L",H275,IF(I275="log-mg/L",10^H275,IF(I275="g/L",H275*1000,IF(I275="ug/L",H275/1000,IF(I275="ng/mL",H275/1000,IF(I275="mol/L",H275*G275*1000,IF(I275="log-mol/L",(10^(H275))*G275*1000)))))))</f>
        <v>501.79000000000008</v>
      </c>
      <c r="L275" s="183">
        <f t="shared" si="162"/>
        <v>2.7005220021597531</v>
      </c>
      <c r="M275" s="469">
        <f>IF(I275="mol/L",H275,(K275/1000)/G275)</f>
        <v>1.9E-3</v>
      </c>
      <c r="N275" s="183">
        <f t="shared" si="163"/>
        <v>-2.7212463990471711</v>
      </c>
      <c r="O275" s="59">
        <v>25</v>
      </c>
      <c r="P275" s="598" t="s">
        <v>511</v>
      </c>
      <c r="Q275" s="100">
        <f>VLOOKUP(P275,References!$B$7:$F$252,5,FALSE)</f>
        <v>36</v>
      </c>
    </row>
    <row r="276" spans="1:17" x14ac:dyDescent="0.2">
      <c r="A276" s="867" t="s">
        <v>386</v>
      </c>
      <c r="B276" s="850" t="s">
        <v>387</v>
      </c>
      <c r="C276" s="833">
        <v>364.1</v>
      </c>
      <c r="D276" s="832" t="s">
        <v>388</v>
      </c>
      <c r="E276" s="134" t="s">
        <v>387</v>
      </c>
      <c r="F276" s="58" t="s">
        <v>388</v>
      </c>
      <c r="G276" s="58">
        <v>364.1</v>
      </c>
      <c r="H276" s="58">
        <v>18.8</v>
      </c>
      <c r="I276" s="58" t="s">
        <v>507</v>
      </c>
      <c r="J276" s="58" t="s">
        <v>27</v>
      </c>
      <c r="K276" s="433">
        <f>IF(I276="mg/L",H276,IF(I276="log-mg/L",10^H276,IF(I276="g/L",H276*1000,IF(I276="ug/L",H276/1000,IF(I276="ng/mL",H276/1000,IF(I276="mol/L",H276*G276*1000,IF(I276="log-mol/L",(10^(H276))*G276*1000)))))))</f>
        <v>18.8</v>
      </c>
      <c r="L276" s="178">
        <f t="shared" si="162"/>
        <v>1.2741578492636798</v>
      </c>
      <c r="M276" s="433">
        <f>IF(I276="mol/L",H276,(K276/1000)/G276)</f>
        <v>5.1634166437791813E-5</v>
      </c>
      <c r="N276" s="178">
        <f t="shared" si="163"/>
        <v>-4.2870628296702638</v>
      </c>
      <c r="O276" s="58">
        <v>22.5</v>
      </c>
      <c r="P276" s="600" t="s">
        <v>536</v>
      </c>
      <c r="Q276" s="121">
        <f>VLOOKUP(P276,References!$B$7:$F$252,5,FALSE)</f>
        <v>77</v>
      </c>
    </row>
    <row r="277" spans="1:17" x14ac:dyDescent="0.2">
      <c r="A277" s="868"/>
      <c r="B277" s="869"/>
      <c r="C277" s="832"/>
      <c r="D277" s="832"/>
      <c r="E277" s="134" t="s">
        <v>387</v>
      </c>
      <c r="F277" s="58" t="s">
        <v>388</v>
      </c>
      <c r="G277" s="58">
        <v>364.1</v>
      </c>
      <c r="H277" s="58">
        <v>1.27</v>
      </c>
      <c r="I277" s="58" t="s">
        <v>518</v>
      </c>
      <c r="J277" s="58" t="s">
        <v>27</v>
      </c>
      <c r="K277" s="433">
        <f>IF(I277="mg/L",H277,IF(I277="log-mg/L",10^H277,IF(I277="g/L",H277*1000,IF(I277="ug/L",H277/1000,IF(I277="ng/mL",H277/1000,IF(I277="mol/L",H277*G278*1000,IF(I277="log-mol/L",(10^(H277))*G278*1000)))))))</f>
        <v>18.62087136662868</v>
      </c>
      <c r="L277" s="178">
        <f t="shared" si="162"/>
        <v>1.27</v>
      </c>
      <c r="M277" s="433">
        <f>IF(I277="mol/L",H277,(K277/1000)/G278)</f>
        <v>5.1142189966022187E-5</v>
      </c>
      <c r="N277" s="178">
        <f t="shared" si="163"/>
        <v>-4.2912206789339438</v>
      </c>
      <c r="O277" s="58">
        <v>25</v>
      </c>
      <c r="P277" s="600" t="s">
        <v>520</v>
      </c>
      <c r="Q277" s="100">
        <f>VLOOKUP(P277,References!$B$7:$F$252,5,FALSE)</f>
        <v>14</v>
      </c>
    </row>
    <row r="278" spans="1:17" x14ac:dyDescent="0.2">
      <c r="A278" s="868"/>
      <c r="B278" s="869"/>
      <c r="C278" s="832"/>
      <c r="D278" s="832"/>
      <c r="E278" s="134" t="s">
        <v>387</v>
      </c>
      <c r="F278" s="58" t="s">
        <v>388</v>
      </c>
      <c r="G278" s="58">
        <v>364.1</v>
      </c>
      <c r="H278" s="58">
        <v>0.87</v>
      </c>
      <c r="I278" s="58" t="s">
        <v>518</v>
      </c>
      <c r="J278" s="58" t="s">
        <v>519</v>
      </c>
      <c r="K278" s="433">
        <f>IF(I278="mg/L",H278,IF(I278="log-mg/L",10^H278,IF(I278="g/L",H278*1000,IF(I278="ug/L",H278/1000,IF(I278="ng/mL",H278/1000,IF(I278="mol/L",H278*G279*1000,IF(I278="log-mol/L",(10^(H278))*G279*1000)))))))</f>
        <v>7.4131024130091765</v>
      </c>
      <c r="L278" s="178">
        <f t="shared" si="162"/>
        <v>0.87</v>
      </c>
      <c r="M278" s="433">
        <f>IF(I278="mol/L",H278,(K278/1000)/G279)</f>
        <v>2.036007254328255E-5</v>
      </c>
      <c r="N278" s="178">
        <f t="shared" si="163"/>
        <v>-4.6912206789339441</v>
      </c>
      <c r="O278" s="58">
        <v>25</v>
      </c>
      <c r="P278" s="600" t="s">
        <v>520</v>
      </c>
      <c r="Q278" s="100">
        <f>VLOOKUP(P278,References!$B$7:$F$252,5,FALSE)</f>
        <v>14</v>
      </c>
    </row>
    <row r="279" spans="1:17" x14ac:dyDescent="0.2">
      <c r="A279" s="868"/>
      <c r="B279" s="869"/>
      <c r="C279" s="832"/>
      <c r="D279" s="832"/>
      <c r="E279" s="134" t="s">
        <v>387</v>
      </c>
      <c r="F279" s="58" t="s">
        <v>388</v>
      </c>
      <c r="G279" s="58">
        <v>364.1</v>
      </c>
      <c r="H279" s="58">
        <v>-0.02</v>
      </c>
      <c r="I279" s="58" t="s">
        <v>521</v>
      </c>
      <c r="J279" s="58" t="s">
        <v>522</v>
      </c>
      <c r="K279" s="433">
        <f>IF(I279="mg/L",H279,IF(I279="log-mg/L",10^H279,IF(I279="g/L",H279*1000,IF(I279="ug/L",H279/1000,IF(I279="ng/mL",H279/1000,IF(I279="mol/L",H279*G280*1000,IF(I279="log-mol/L",(10^(H279))*G280*1000)))))))</f>
        <v>347712.80057040486</v>
      </c>
      <c r="L279" s="178">
        <f t="shared" si="162"/>
        <v>5.5412206789339438</v>
      </c>
      <c r="M279" s="433">
        <f>IF(I279="mol/L",H279,(K279/1000)/G280)</f>
        <v>0.954992586021436</v>
      </c>
      <c r="N279" s="178">
        <f t="shared" si="163"/>
        <v>-0.02</v>
      </c>
      <c r="O279" s="58" t="s">
        <v>33</v>
      </c>
      <c r="P279" s="600" t="s">
        <v>523</v>
      </c>
      <c r="Q279" s="100">
        <f>VLOOKUP(P279,References!$B$7:$F$252,5,FALSE)</f>
        <v>127</v>
      </c>
    </row>
    <row r="280" spans="1:17" x14ac:dyDescent="0.2">
      <c r="A280" s="868"/>
      <c r="B280" s="869"/>
      <c r="C280" s="832"/>
      <c r="D280" s="832"/>
      <c r="E280" s="134" t="s">
        <v>387</v>
      </c>
      <c r="F280" s="58" t="s">
        <v>388</v>
      </c>
      <c r="G280" s="58">
        <v>364.1</v>
      </c>
      <c r="H280" s="58">
        <v>-3.57</v>
      </c>
      <c r="I280" s="58" t="s">
        <v>521</v>
      </c>
      <c r="J280" s="58" t="s">
        <v>524</v>
      </c>
      <c r="K280" s="433">
        <f>IF(I280="mg/L",H280,IF(I280="log-mg/L",10^H280,IF(I280="g/L",H280*1000,IF(I280="ug/L",H280/1000,IF(I280="ng/mL",H280/1000,IF(I280="mol/L",H280*G277*1000,IF(I280="log-mol/L",(10^(H280))*G277*1000)))))))</f>
        <v>97.998782210979044</v>
      </c>
      <c r="L280" s="178">
        <f t="shared" ref="L280" si="168">IF(I280="log-mg/L",H280,LOG(K280))</f>
        <v>1.9912206789339439</v>
      </c>
      <c r="M280" s="433">
        <f>IF(I280="mol/L",H280,(K280/1000)/G277)</f>
        <v>2.6915348039269167E-4</v>
      </c>
      <c r="N280" s="178">
        <f t="shared" ref="N280" si="169">IF(I280="log-mol/L",H280,LOG(M280))</f>
        <v>-3.57</v>
      </c>
      <c r="O280" s="58">
        <v>25</v>
      </c>
      <c r="P280" s="600" t="s">
        <v>525</v>
      </c>
      <c r="Q280" s="100">
        <f>VLOOKUP(P280,References!$B$7:$F$252,5,FALSE)</f>
        <v>61</v>
      </c>
    </row>
    <row r="281" spans="1:17" x14ac:dyDescent="0.2">
      <c r="A281" s="868"/>
      <c r="B281" s="869"/>
      <c r="C281" s="832"/>
      <c r="D281" s="832"/>
      <c r="E281" s="134" t="s">
        <v>387</v>
      </c>
      <c r="F281" s="58" t="s">
        <v>388</v>
      </c>
      <c r="G281" s="58">
        <v>364.1</v>
      </c>
      <c r="H281" s="354">
        <v>7.5199999999999996E-7</v>
      </c>
      <c r="I281" s="58" t="s">
        <v>509</v>
      </c>
      <c r="J281" s="58" t="s">
        <v>513</v>
      </c>
      <c r="K281" s="433">
        <f>IF(I281="mg/L",H281,IF(I281="log-mg/L",10^H281,IF(I281="g/L",H281*1000,IF(I281="ug/L",H281/1000,IF(I281="ng/mL",H281/1000,IF(I281="mol/L",H281*G281*1000,IF(I281="log-mol/L",(10^(H281))*G281*1000)))))))</f>
        <v>0.27380319999999997</v>
      </c>
      <c r="L281" s="178">
        <f t="shared" si="162"/>
        <v>-0.56256148047441401</v>
      </c>
      <c r="M281" s="433">
        <f>IF(I281="mol/L",H281,(K281/1000)/G281)</f>
        <v>7.5199999999999996E-7</v>
      </c>
      <c r="N281" s="178">
        <f t="shared" si="163"/>
        <v>-6.1237821594083579</v>
      </c>
      <c r="O281" s="58" t="s">
        <v>33</v>
      </c>
      <c r="P281" s="600" t="s">
        <v>511</v>
      </c>
      <c r="Q281" s="100">
        <f>VLOOKUP(P281,References!$B$7:$F$252,5,FALSE)</f>
        <v>36</v>
      </c>
    </row>
    <row r="282" spans="1:17" x14ac:dyDescent="0.2">
      <c r="A282" s="868"/>
      <c r="B282" s="869"/>
      <c r="C282" s="832"/>
      <c r="D282" s="832"/>
      <c r="E282" s="134" t="s">
        <v>387</v>
      </c>
      <c r="F282" s="58" t="s">
        <v>388</v>
      </c>
      <c r="G282" s="58">
        <v>364.1</v>
      </c>
      <c r="H282" s="354">
        <v>6.8399999999999997E-6</v>
      </c>
      <c r="I282" s="58" t="s">
        <v>509</v>
      </c>
      <c r="J282" s="58" t="s">
        <v>512</v>
      </c>
      <c r="K282" s="433">
        <f>IF(I282="mg/L",H282,IF(I282="log-mg/L",10^H282,IF(I282="g/L",H282*1000,IF(I282="ug/L",H282/1000,IF(I282="ng/mL",H282/1000,IF(I282="mol/L",H282*G282*1000,IF(I282="log-mol/L",(10^(H282))*G282*1000)))))))</f>
        <v>2.4904440000000001</v>
      </c>
      <c r="L282" s="178">
        <f t="shared" si="162"/>
        <v>0.39627678065406002</v>
      </c>
      <c r="M282" s="433">
        <f>IF(I282="mol/L",H282,(K282/1000)/G282)</f>
        <v>6.8399999999999997E-6</v>
      </c>
      <c r="N282" s="178">
        <f t="shared" si="163"/>
        <v>-5.1649438982798834</v>
      </c>
      <c r="O282" s="58" t="s">
        <v>33</v>
      </c>
      <c r="P282" s="600" t="s">
        <v>511</v>
      </c>
      <c r="Q282" s="100">
        <f>VLOOKUP(P282,References!$B$7:$F$252,5,FALSE)</f>
        <v>36</v>
      </c>
    </row>
    <row r="283" spans="1:17" x14ac:dyDescent="0.2">
      <c r="A283" s="868"/>
      <c r="B283" s="869"/>
      <c r="C283" s="832"/>
      <c r="D283" s="832"/>
      <c r="E283" s="134" t="s">
        <v>387</v>
      </c>
      <c r="F283" s="58" t="s">
        <v>388</v>
      </c>
      <c r="G283" s="58">
        <v>364.1</v>
      </c>
      <c r="H283" s="354">
        <v>2.4000000000000001E-4</v>
      </c>
      <c r="I283" s="58" t="s">
        <v>509</v>
      </c>
      <c r="J283" s="58" t="s">
        <v>514</v>
      </c>
      <c r="K283" s="433">
        <f>IF(I283="mg/L",H283,IF(I283="log-mg/L",10^H283,IF(I283="g/L",H283*1000,IF(I283="ug/L",H283/1000,IF(I283="ng/mL",H283/1000,IF(I283="mol/L",H283*G283*1000,IF(I283="log-mol/L",(10^(H283))*G283*1000)))))))</f>
        <v>87.384</v>
      </c>
      <c r="L283" s="178">
        <f t="shared" si="162"/>
        <v>1.9414319206455497</v>
      </c>
      <c r="M283" s="433">
        <f>IF(I283="mol/L",H283,(K283/1000)/G283)</f>
        <v>2.4000000000000001E-4</v>
      </c>
      <c r="N283" s="178">
        <f t="shared" si="163"/>
        <v>-3.6197887582883941</v>
      </c>
      <c r="O283" s="58" t="s">
        <v>33</v>
      </c>
      <c r="P283" s="600" t="s">
        <v>511</v>
      </c>
      <c r="Q283" s="100">
        <f>VLOOKUP(P283,References!$B$7:$F$252,5,FALSE)</f>
        <v>36</v>
      </c>
    </row>
    <row r="284" spans="1:17" x14ac:dyDescent="0.2">
      <c r="A284" s="879"/>
      <c r="B284" s="851"/>
      <c r="C284" s="834"/>
      <c r="D284" s="834"/>
      <c r="E284" s="195" t="s">
        <v>387</v>
      </c>
      <c r="F284" s="59" t="s">
        <v>388</v>
      </c>
      <c r="G284" s="59">
        <v>364.1</v>
      </c>
      <c r="H284" s="327">
        <v>4.8000000000000001E-5</v>
      </c>
      <c r="I284" s="59" t="s">
        <v>509</v>
      </c>
      <c r="J284" s="59" t="s">
        <v>515</v>
      </c>
      <c r="K284" s="469">
        <f>IF(I284="mg/L",H284,IF(I284="log-mg/L",10^H284,IF(I284="g/L",H284*1000,IF(I284="ug/L",H284/1000,IF(I284="ng/mL",H284/1000,IF(I284="mol/L",H284*G284*1000,IF(I284="log-mol/L",(10^(H284))*G284*1000)))))))</f>
        <v>17.476800000000001</v>
      </c>
      <c r="L284" s="183">
        <f t="shared" si="162"/>
        <v>1.242461916309531</v>
      </c>
      <c r="M284" s="469">
        <f>IF(I284="mol/L",H284,(K284/1000)/G284)</f>
        <v>4.8000000000000001E-5</v>
      </c>
      <c r="N284" s="183">
        <f t="shared" si="163"/>
        <v>-4.3187587626244124</v>
      </c>
      <c r="O284" s="59">
        <v>25</v>
      </c>
      <c r="P284" s="598" t="s">
        <v>511</v>
      </c>
      <c r="Q284" s="122">
        <f>VLOOKUP(P284,References!$B$7:$F$252,5,FALSE)</f>
        <v>36</v>
      </c>
    </row>
    <row r="285" spans="1:17" x14ac:dyDescent="0.2">
      <c r="A285" s="868" t="s">
        <v>395</v>
      </c>
      <c r="B285" s="869" t="s">
        <v>396</v>
      </c>
      <c r="C285" s="832">
        <v>464.1</v>
      </c>
      <c r="D285" s="832" t="s">
        <v>397</v>
      </c>
      <c r="E285" s="134" t="s">
        <v>396</v>
      </c>
      <c r="F285" s="58" t="s">
        <v>397</v>
      </c>
      <c r="G285" s="58">
        <v>464.1</v>
      </c>
      <c r="H285" s="58">
        <v>148</v>
      </c>
      <c r="I285" s="58" t="s">
        <v>537</v>
      </c>
      <c r="J285" s="58" t="s">
        <v>27</v>
      </c>
      <c r="K285" s="433">
        <f>IF(I285="mg/L",H285,IF(I285="log-mg/L",10^H285,IF(I285="g/L",H285*1000,IF(I285="ug/L",H285/1000,IF(I285="ng/mL",H285/1000,IF(I285="mol/L",H285*G290*1000,IF(I285="log-mol/L",(10^(H285))*G290*1000)))))))</f>
        <v>0.14799999999999999</v>
      </c>
      <c r="L285" s="178">
        <f>IF(I285="log-mg/L",H285,LOG(K285))</f>
        <v>-0.82973828460504262</v>
      </c>
      <c r="M285" s="433">
        <f>IF(I285="mol/L",H285,(K285/1000)/G290)</f>
        <v>3.1889678948502475E-7</v>
      </c>
      <c r="N285" s="178">
        <f>IF(I285="log-mol/L",H285,LOG(M285))</f>
        <v>-6.4963498530240722</v>
      </c>
      <c r="O285" s="58">
        <v>25</v>
      </c>
      <c r="P285" s="600" t="s">
        <v>538</v>
      </c>
      <c r="Q285" s="100">
        <f>VLOOKUP(P285,References!$B$7:$F$252,5,FALSE)</f>
        <v>34</v>
      </c>
    </row>
    <row r="286" spans="1:17" x14ac:dyDescent="0.2">
      <c r="A286" s="868"/>
      <c r="B286" s="869"/>
      <c r="C286" s="832"/>
      <c r="D286" s="832"/>
      <c r="E286" s="134" t="s">
        <v>396</v>
      </c>
      <c r="F286" s="58" t="s">
        <v>397</v>
      </c>
      <c r="G286" s="58">
        <v>464.1</v>
      </c>
      <c r="H286" s="58">
        <v>137</v>
      </c>
      <c r="I286" s="58" t="s">
        <v>539</v>
      </c>
      <c r="J286" s="58" t="s">
        <v>27</v>
      </c>
      <c r="K286" s="433">
        <f>IF(I286="mg/L",H286,IF(I286="log-mg/L",10^H286,IF(I286="g/L",H286*1000,IF(I286="ug/L",H286/1000,IF(I286="ng/mL",H286/1000,IF(I286="mol/L",H286*G287*1000,IF(I286="log-mol/L",(10^(H286))*G287*1000)))))))</f>
        <v>0.13700000000000001</v>
      </c>
      <c r="L286" s="178">
        <f>IF(I286="log-mg/L",H286,LOG(K286))</f>
        <v>-0.86327943284359321</v>
      </c>
      <c r="M286" s="433">
        <f>IF(I286="mol/L",H286,(K286/1000)/G287)</f>
        <v>2.9519500107735403E-7</v>
      </c>
      <c r="N286" s="178">
        <f>IF(I286="log-mol/L",H286,LOG(M286))</f>
        <v>-6.529891001262623</v>
      </c>
      <c r="O286" s="58">
        <v>25</v>
      </c>
      <c r="P286" s="600" t="s">
        <v>400</v>
      </c>
      <c r="Q286" s="100">
        <f>VLOOKUP(P286,References!$B$7:$F$252,5,FALSE)</f>
        <v>56</v>
      </c>
    </row>
    <row r="287" spans="1:17" x14ac:dyDescent="0.2">
      <c r="A287" s="868"/>
      <c r="B287" s="869"/>
      <c r="C287" s="832"/>
      <c r="D287" s="832"/>
      <c r="E287" s="134" t="s">
        <v>396</v>
      </c>
      <c r="F287" s="58" t="s">
        <v>397</v>
      </c>
      <c r="G287" s="58">
        <v>464.1</v>
      </c>
      <c r="H287" s="58">
        <v>0.19400000000000001</v>
      </c>
      <c r="I287" s="58" t="s">
        <v>507</v>
      </c>
      <c r="J287" s="58" t="s">
        <v>27</v>
      </c>
      <c r="K287" s="433">
        <f>IF(I287="mg/L",H287,IF(I287="log-mg/L",10^H287,IF(I287="g/L",H287*1000,IF(I287="ug/L",H287/1000,IF(I287="ng/mL",H287/1000,IF(I287="mol/L",H287*G285*1000,IF(I287="log-mol/L",(10^(H287))*G285*1000)))))))</f>
        <v>0.19400000000000001</v>
      </c>
      <c r="L287" s="178">
        <f t="shared" si="162"/>
        <v>-0.71219827006977399</v>
      </c>
      <c r="M287" s="433">
        <f>IF(I287="mol/L",H287,(K287/1000)/G285)</f>
        <v>4.1801335918982975E-7</v>
      </c>
      <c r="N287" s="178">
        <f t="shared" si="163"/>
        <v>-6.3788098384888041</v>
      </c>
      <c r="O287" s="58">
        <v>22.3</v>
      </c>
      <c r="P287" s="600" t="s">
        <v>540</v>
      </c>
      <c r="Q287" s="100">
        <f>VLOOKUP(P287,References!$B$7:$F$252,5,FALSE)</f>
        <v>76</v>
      </c>
    </row>
    <row r="288" spans="1:17" x14ac:dyDescent="0.2">
      <c r="A288" s="868"/>
      <c r="B288" s="869"/>
      <c r="C288" s="832"/>
      <c r="D288" s="832"/>
      <c r="E288" s="134" t="s">
        <v>396</v>
      </c>
      <c r="F288" s="58" t="s">
        <v>397</v>
      </c>
      <c r="G288" s="58">
        <v>464.1</v>
      </c>
      <c r="H288" s="58">
        <v>-0.83</v>
      </c>
      <c r="I288" s="58" t="s">
        <v>518</v>
      </c>
      <c r="J288" s="58" t="s">
        <v>27</v>
      </c>
      <c r="K288" s="433">
        <f>IF(I288="mg/L",H288,IF(I288="log-mg/L",10^H288,IF(I288="g/L",H288*1000,IF(I288="ug/L",H288/1000,IF(I288="ng/mL",H288/1000,IF(I288="mol/L",H288*G288*1000,IF(I288="log-mol/L",(10^(H288))*G288*1000)))))))</f>
        <v>0.14791083881682074</v>
      </c>
      <c r="L288" s="178">
        <f t="shared" si="162"/>
        <v>-0.83</v>
      </c>
      <c r="M288" s="433">
        <f>IF(I288="mol/L",H288,(K288/1000)/G288)</f>
        <v>3.187046731670345E-7</v>
      </c>
      <c r="N288" s="178">
        <f t="shared" si="163"/>
        <v>-6.4966115684190298</v>
      </c>
      <c r="O288" s="58">
        <v>25</v>
      </c>
      <c r="P288" s="600" t="s">
        <v>520</v>
      </c>
      <c r="Q288" s="100">
        <f>VLOOKUP(P288,References!$B$7:$F$252,5,FALSE)</f>
        <v>14</v>
      </c>
    </row>
    <row r="289" spans="1:17" x14ac:dyDescent="0.2">
      <c r="A289" s="868"/>
      <c r="B289" s="869"/>
      <c r="C289" s="832"/>
      <c r="D289" s="832"/>
      <c r="E289" s="134" t="s">
        <v>396</v>
      </c>
      <c r="F289" s="58" t="s">
        <v>397</v>
      </c>
      <c r="G289" s="58">
        <v>464.1</v>
      </c>
      <c r="H289" s="58">
        <v>-0.62</v>
      </c>
      <c r="I289" s="58" t="s">
        <v>518</v>
      </c>
      <c r="J289" s="58" t="s">
        <v>519</v>
      </c>
      <c r="K289" s="433">
        <f>IF(I289="mg/L",H289,IF(I289="log-mg/L",10^H289,IF(I289="g/L",H289*1000,IF(I289="ug/L",H289/1000,IF(I289="ng/mL",H289/1000,IF(I289="mol/L",H289*G289*1000,IF(I289="log-mol/L",(10^(H289))*G289*1000)))))))</f>
        <v>0.23988329190194901</v>
      </c>
      <c r="L289" s="178">
        <f t="shared" si="162"/>
        <v>-0.62</v>
      </c>
      <c r="M289" s="433">
        <f>IF(I289="mol/L",H289,(K289/1000)/G289)</f>
        <v>5.1687845701777421E-7</v>
      </c>
      <c r="N289" s="178">
        <f t="shared" si="163"/>
        <v>-6.2866115684190298</v>
      </c>
      <c r="O289" s="58">
        <v>25</v>
      </c>
      <c r="P289" s="600" t="s">
        <v>520</v>
      </c>
      <c r="Q289" s="100">
        <f>VLOOKUP(P289,References!$B$7:$F$252,5,FALSE)</f>
        <v>14</v>
      </c>
    </row>
    <row r="290" spans="1:17" x14ac:dyDescent="0.2">
      <c r="A290" s="868"/>
      <c r="B290" s="869"/>
      <c r="C290" s="832"/>
      <c r="D290" s="832"/>
      <c r="E290" s="134" t="s">
        <v>396</v>
      </c>
      <c r="F290" s="58" t="s">
        <v>397</v>
      </c>
      <c r="G290" s="58">
        <v>464.1</v>
      </c>
      <c r="H290" s="58">
        <v>-0.53</v>
      </c>
      <c r="I290" s="58" t="s">
        <v>521</v>
      </c>
      <c r="J290" s="58" t="s">
        <v>522</v>
      </c>
      <c r="K290" s="433">
        <f>IF(I290="mg/L",H290,IF(I290="log-mg/L",10^H290,IF(I290="g/L",H290*1000,IF(I290="ug/L",H290/1000,IF(I290="ng/mL",H290/1000,IF(I290="mol/L",H290*G291*1000,IF(I290="log-mol/L",(10^(H290))*G291*1000)))))))</f>
        <v>136965.62020958692</v>
      </c>
      <c r="L290" s="178">
        <f t="shared" si="162"/>
        <v>5.1366115684190294</v>
      </c>
      <c r="M290" s="433">
        <f>IF(I290="mol/L",H290,(K290/1000)/G291)</f>
        <v>0.29512092266663847</v>
      </c>
      <c r="N290" s="178">
        <f t="shared" si="163"/>
        <v>-0.53</v>
      </c>
      <c r="O290" s="58" t="s">
        <v>33</v>
      </c>
      <c r="P290" s="600" t="s">
        <v>523</v>
      </c>
      <c r="Q290" s="100">
        <f>VLOOKUP(P290,References!$B$7:$F$252,5,FALSE)</f>
        <v>127</v>
      </c>
    </row>
    <row r="291" spans="1:17" x14ac:dyDescent="0.2">
      <c r="A291" s="868"/>
      <c r="B291" s="869"/>
      <c r="C291" s="832"/>
      <c r="D291" s="832"/>
      <c r="E291" s="134" t="s">
        <v>396</v>
      </c>
      <c r="F291" s="58" t="s">
        <v>397</v>
      </c>
      <c r="G291" s="58">
        <v>464.1</v>
      </c>
      <c r="H291" s="58">
        <v>-5.16</v>
      </c>
      <c r="I291" s="58" t="s">
        <v>521</v>
      </c>
      <c r="J291" s="58" t="s">
        <v>524</v>
      </c>
      <c r="K291" s="433">
        <f>IF(I291="mg/L",H291,IF(I291="log-mg/L",10^H291,IF(I291="g/L",H291*1000,IF(I291="ug/L",H291/1000,IF(I291="ng/mL",H291/1000,IF(I291="mol/L",H291*G286*1000,IF(I291="log-mol/L",(10^(H291))*G286*1000)))))))</f>
        <v>3.2107875360347773</v>
      </c>
      <c r="L291" s="178">
        <f t="shared" ref="L291" si="170">IF(I291="log-mg/L",H291,LOG(K291))</f>
        <v>0.50661156841902899</v>
      </c>
      <c r="M291" s="433">
        <f>IF(I291="mol/L",H291,(K291/1000)/G286)</f>
        <v>6.9183097091893498E-6</v>
      </c>
      <c r="N291" s="178">
        <f t="shared" ref="N291" si="171">IF(I291="log-mol/L",H291,LOG(M291))</f>
        <v>-5.16</v>
      </c>
      <c r="O291" s="58">
        <v>25</v>
      </c>
      <c r="P291" s="600" t="s">
        <v>525</v>
      </c>
      <c r="Q291" s="100">
        <f>VLOOKUP(P291,References!$B$7:$F$252,5,FALSE)</f>
        <v>61</v>
      </c>
    </row>
    <row r="292" spans="1:17" x14ac:dyDescent="0.2">
      <c r="A292" s="868"/>
      <c r="B292" s="869"/>
      <c r="C292" s="832"/>
      <c r="D292" s="832"/>
      <c r="E292" s="134" t="s">
        <v>396</v>
      </c>
      <c r="F292" s="58" t="s">
        <v>397</v>
      </c>
      <c r="G292" s="58">
        <v>464.1</v>
      </c>
      <c r="H292" s="375">
        <v>3.1500000000000001E-9</v>
      </c>
      <c r="I292" s="58" t="s">
        <v>509</v>
      </c>
      <c r="J292" s="58" t="s">
        <v>513</v>
      </c>
      <c r="K292" s="433">
        <f>IF(I292="mg/L",H292,IF(I292="log-mg/L",10^H292,IF(I292="g/L",H292*1000,IF(I292="ug/L",H292/1000,IF(I292="ng/mL",H292/1000,IF(I292="mol/L",H292*G292*1000,IF(I292="log-mol/L",(10^(H292))*G292*1000)))))))</f>
        <v>1.461915E-3</v>
      </c>
      <c r="L292" s="178">
        <f t="shared" si="162"/>
        <v>-2.8350778777913694</v>
      </c>
      <c r="M292" s="433">
        <f>IF(I292="mol/L",H292,(K292/1000)/G292)</f>
        <v>3.1500000000000001E-9</v>
      </c>
      <c r="N292" s="178">
        <f t="shared" si="163"/>
        <v>-8.5016894462103991</v>
      </c>
      <c r="O292" s="58" t="s">
        <v>33</v>
      </c>
      <c r="P292" s="600" t="s">
        <v>511</v>
      </c>
      <c r="Q292" s="100">
        <f>VLOOKUP(P292,References!$B$7:$F$252,5,FALSE)</f>
        <v>36</v>
      </c>
    </row>
    <row r="293" spans="1:17" x14ac:dyDescent="0.2">
      <c r="A293" s="868"/>
      <c r="B293" s="869"/>
      <c r="C293" s="832"/>
      <c r="D293" s="832"/>
      <c r="E293" s="134" t="s">
        <v>396</v>
      </c>
      <c r="F293" s="58" t="s">
        <v>397</v>
      </c>
      <c r="G293" s="58">
        <v>464.1</v>
      </c>
      <c r="H293" s="375">
        <v>1.11E-6</v>
      </c>
      <c r="I293" s="58" t="s">
        <v>509</v>
      </c>
      <c r="J293" s="58" t="s">
        <v>512</v>
      </c>
      <c r="K293" s="433">
        <f>IF(I293="mg/L",H293,IF(I293="log-mg/L",10^H293,IF(I293="g/L",H293*1000,IF(I293="ug/L",H293/1000,IF(I293="ng/mL",H293/1000,IF(I293="mol/L",H293*G293*1000,IF(I293="log-mol/L",(10^(H293))*G293*1000)))))))</f>
        <v>0.51515100000000003</v>
      </c>
      <c r="L293" s="178">
        <f t="shared" si="162"/>
        <v>-0.28806545279431256</v>
      </c>
      <c r="M293" s="433">
        <f>IF(I293="mol/L",H293,(K293/1000)/G293)</f>
        <v>1.11E-6</v>
      </c>
      <c r="N293" s="178">
        <f t="shared" si="163"/>
        <v>-5.9546770212133424</v>
      </c>
      <c r="O293" s="58" t="s">
        <v>33</v>
      </c>
      <c r="P293" s="600" t="s">
        <v>511</v>
      </c>
      <c r="Q293" s="100">
        <f>VLOOKUP(P293,References!$B$7:$F$252,5,FALSE)</f>
        <v>36</v>
      </c>
    </row>
    <row r="294" spans="1:17" x14ac:dyDescent="0.2">
      <c r="A294" s="868"/>
      <c r="B294" s="869"/>
      <c r="C294" s="832"/>
      <c r="D294" s="832"/>
      <c r="E294" s="134" t="s">
        <v>396</v>
      </c>
      <c r="F294" s="58" t="s">
        <v>397</v>
      </c>
      <c r="G294" s="58">
        <v>464.1</v>
      </c>
      <c r="H294" s="375">
        <v>9.5999999999999996E-6</v>
      </c>
      <c r="I294" s="58" t="s">
        <v>509</v>
      </c>
      <c r="J294" s="58" t="s">
        <v>514</v>
      </c>
      <c r="K294" s="433">
        <f>IF(I294="mg/L",H294,IF(I294="log-mg/L",10^H294,IF(I294="g/L",H294*1000,IF(I294="ug/L",H294/1000,IF(I294="ng/mL",H294/1000,IF(I294="mol/L",H294*G294*1000,IF(I294="log-mol/L",(10^(H294))*G294*1000)))))))</f>
        <v>4.4553600000000007</v>
      </c>
      <c r="L294" s="178">
        <f t="shared" ref="L294" si="172">IF(I294="log-mg/L",H294,LOG(K294))</f>
        <v>0.64888280145859845</v>
      </c>
      <c r="M294" s="433">
        <f>IF(I294="mol/L",H294,(K294/1000)/G294)</f>
        <v>9.5999999999999996E-6</v>
      </c>
      <c r="N294" s="178">
        <f t="shared" ref="N294" si="173">IF(I294="log-mol/L",H294,LOG(M294))</f>
        <v>-5.017728766960432</v>
      </c>
      <c r="O294" s="58" t="s">
        <v>33</v>
      </c>
      <c r="P294" s="600" t="s">
        <v>511</v>
      </c>
      <c r="Q294" s="100">
        <f>VLOOKUP(P294,References!$B$7:$F$252,5,FALSE)</f>
        <v>36</v>
      </c>
    </row>
    <row r="295" spans="1:17" x14ac:dyDescent="0.2">
      <c r="A295" s="868"/>
      <c r="B295" s="869"/>
      <c r="C295" s="832"/>
      <c r="D295" s="834"/>
      <c r="E295" s="195" t="s">
        <v>396</v>
      </c>
      <c r="F295" s="59" t="s">
        <v>397</v>
      </c>
      <c r="G295" s="59">
        <v>464.1</v>
      </c>
      <c r="H295" s="345">
        <v>4.1199999999999998E-7</v>
      </c>
      <c r="I295" s="59" t="s">
        <v>509</v>
      </c>
      <c r="J295" s="59" t="s">
        <v>515</v>
      </c>
      <c r="K295" s="469">
        <f>IF(I295="mg/L",H295,IF(I295="log-mg/L",10^H295,IF(I295="g/L",H295*1000,IF(I295="ug/L",H295/1000,IF(I295="ng/mL",H295/1000,IF(I295="mol/L",H295*G295*1000,IF(I295="log-mol/L",(10^(H295))*G295*1000)))))))</f>
        <v>0.1912092</v>
      </c>
      <c r="L295" s="183">
        <f t="shared" si="162"/>
        <v>-0.71849121554783546</v>
      </c>
      <c r="M295" s="469">
        <f>IF(I295="mol/L",H295,(K295/1000)/G295)</f>
        <v>4.1199999999999998E-7</v>
      </c>
      <c r="N295" s="183">
        <f t="shared" si="163"/>
        <v>-6.3851027839668655</v>
      </c>
      <c r="O295" s="59">
        <v>25</v>
      </c>
      <c r="P295" s="598" t="s">
        <v>511</v>
      </c>
      <c r="Q295" s="100">
        <f>VLOOKUP(P295,References!$B$7:$F$252,5,FALSE)</f>
        <v>36</v>
      </c>
    </row>
    <row r="296" spans="1:17" x14ac:dyDescent="0.2">
      <c r="A296" s="867" t="s">
        <v>406</v>
      </c>
      <c r="B296" s="850" t="s">
        <v>407</v>
      </c>
      <c r="C296" s="833">
        <v>564.1</v>
      </c>
      <c r="D296" s="832" t="s">
        <v>408</v>
      </c>
      <c r="E296" s="134" t="s">
        <v>407</v>
      </c>
      <c r="F296" s="58" t="s">
        <v>408</v>
      </c>
      <c r="G296" s="58">
        <v>564.1</v>
      </c>
      <c r="H296" s="58">
        <v>1.0999999999999999E-2</v>
      </c>
      <c r="I296" s="58" t="s">
        <v>507</v>
      </c>
      <c r="J296" s="58" t="s">
        <v>27</v>
      </c>
      <c r="K296" s="433">
        <f>IF(I296="mg/L",H296,IF(I296="log-mg/L",10^H296,IF(I296="g/L",H296*1000,IF(I296="ug/L",H296/1000,IF(I296="ng/mL",H296/1000,IF(I296="mol/L",H296*G296*1000,IF(I296="log-mol/L",(10^(H296))*G296*1000)))))))</f>
        <v>1.0999999999999999E-2</v>
      </c>
      <c r="L296" s="178">
        <f t="shared" si="162"/>
        <v>-1.9586073148417751</v>
      </c>
      <c r="M296" s="433">
        <f>IF(I296="mol/L",H296,(K296/1000)/G296)</f>
        <v>1.9500088636766528E-8</v>
      </c>
      <c r="N296" s="178">
        <f t="shared" si="163"/>
        <v>-7.7099634145671683</v>
      </c>
      <c r="O296" s="58">
        <v>22.5</v>
      </c>
      <c r="P296" s="600" t="s">
        <v>536</v>
      </c>
      <c r="Q296" s="121">
        <f>VLOOKUP(P296,References!$B$7:$F$252,5,FALSE)</f>
        <v>77</v>
      </c>
    </row>
    <row r="297" spans="1:17" x14ac:dyDescent="0.2">
      <c r="A297" s="868"/>
      <c r="B297" s="869"/>
      <c r="C297" s="832"/>
      <c r="D297" s="832"/>
      <c r="E297" s="134" t="s">
        <v>407</v>
      </c>
      <c r="F297" s="58" t="s">
        <v>408</v>
      </c>
      <c r="G297" s="58">
        <v>564.1</v>
      </c>
      <c r="H297" s="58">
        <v>-1.96</v>
      </c>
      <c r="I297" s="58" t="s">
        <v>518</v>
      </c>
      <c r="J297" s="58" t="s">
        <v>27</v>
      </c>
      <c r="K297" s="433">
        <f>IF(I297="mg/L",H297,IF(I297="log-mg/L",10^H297,IF(I297="g/L",H297*1000,IF(I297="ug/L",H297/1000,IF(I297="ng/mL",H297/1000,IF(I297="mol/L",H297*G298*1000,IF(I297="log-mol/L",(10^(H297))*G298*1000)))))))</f>
        <v>1.0964781961431851E-2</v>
      </c>
      <c r="L297" s="178">
        <f t="shared" si="162"/>
        <v>-1.96</v>
      </c>
      <c r="M297" s="433">
        <f>IF(I297="mol/L",H297,(K297/1000)/G298)</f>
        <v>1.9437656375521805E-8</v>
      </c>
      <c r="N297" s="178">
        <f t="shared" si="163"/>
        <v>-7.7113560997253936</v>
      </c>
      <c r="O297" s="58">
        <v>25</v>
      </c>
      <c r="P297" s="600" t="s">
        <v>520</v>
      </c>
      <c r="Q297" s="100">
        <f>VLOOKUP(P297,References!$B$7:$F$252,5,FALSE)</f>
        <v>14</v>
      </c>
    </row>
    <row r="298" spans="1:17" x14ac:dyDescent="0.2">
      <c r="A298" s="868"/>
      <c r="B298" s="869"/>
      <c r="C298" s="832"/>
      <c r="D298" s="832"/>
      <c r="E298" s="134" t="s">
        <v>407</v>
      </c>
      <c r="F298" s="58" t="s">
        <v>408</v>
      </c>
      <c r="G298" s="58">
        <v>564.1</v>
      </c>
      <c r="H298" s="58">
        <v>-3.16</v>
      </c>
      <c r="I298" s="58" t="s">
        <v>518</v>
      </c>
      <c r="J298" s="58" t="s">
        <v>519</v>
      </c>
      <c r="K298" s="433">
        <f>IF(I298="mg/L",H298,IF(I298="log-mg/L",10^H298,IF(I298="g/L",H298*1000,IF(I298="ug/L",H298/1000,IF(I298="ng/mL",H298/1000,IF(I298="mol/L",H298*G299*1000,IF(I298="log-mol/L",(10^(H298))*G299*1000)))))))</f>
        <v>6.9183097091893579E-4</v>
      </c>
      <c r="L298" s="178">
        <f t="shared" si="162"/>
        <v>-3.16</v>
      </c>
      <c r="M298" s="433">
        <f>IF(I298="mol/L",H298,(K298/1000)/G299)</f>
        <v>1.2264332049617722E-9</v>
      </c>
      <c r="N298" s="178">
        <f t="shared" si="163"/>
        <v>-8.9113560997253938</v>
      </c>
      <c r="O298" s="58">
        <v>25</v>
      </c>
      <c r="P298" s="600" t="s">
        <v>520</v>
      </c>
      <c r="Q298" s="100">
        <f>VLOOKUP(P298,References!$B$7:$F$252,5,FALSE)</f>
        <v>14</v>
      </c>
    </row>
    <row r="299" spans="1:17" x14ac:dyDescent="0.2">
      <c r="A299" s="868"/>
      <c r="B299" s="869"/>
      <c r="C299" s="832"/>
      <c r="D299" s="832"/>
      <c r="E299" s="134" t="s">
        <v>407</v>
      </c>
      <c r="F299" s="58" t="s">
        <v>408</v>
      </c>
      <c r="G299" s="58">
        <v>564.1</v>
      </c>
      <c r="H299" s="58">
        <v>-1.44</v>
      </c>
      <c r="I299" s="58" t="s">
        <v>521</v>
      </c>
      <c r="J299" s="58" t="s">
        <v>522</v>
      </c>
      <c r="K299" s="433">
        <f>IF(I299="mg/L",H299,IF(I299="log-mg/L",10^H299,IF(I299="g/L",H299*1000,IF(I299="ug/L",H299/1000,IF(I299="ng/mL",H299/1000,IF(I299="mol/L",H299*G300*1000,IF(I299="log-mol/L",(10^(H299))*G300*1000)))))))</f>
        <v>20481.233069581416</v>
      </c>
      <c r="L299" s="178">
        <f t="shared" si="162"/>
        <v>4.3113560997253932</v>
      </c>
      <c r="M299" s="433">
        <f>IF(I299="mol/L",H299,(K299/1000)/G300)</f>
        <v>3.6307805477010131E-2</v>
      </c>
      <c r="N299" s="178">
        <f t="shared" si="163"/>
        <v>-1.44</v>
      </c>
      <c r="O299" s="58" t="s">
        <v>33</v>
      </c>
      <c r="P299" s="600" t="s">
        <v>523</v>
      </c>
      <c r="Q299" s="100">
        <f>VLOOKUP(P299,References!$B$7:$F$252,5,FALSE)</f>
        <v>127</v>
      </c>
    </row>
    <row r="300" spans="1:17" x14ac:dyDescent="0.2">
      <c r="A300" s="868"/>
      <c r="B300" s="869"/>
      <c r="C300" s="832"/>
      <c r="D300" s="832"/>
      <c r="E300" s="134" t="s">
        <v>407</v>
      </c>
      <c r="F300" s="58" t="s">
        <v>408</v>
      </c>
      <c r="G300" s="58">
        <v>564.1</v>
      </c>
      <c r="H300" s="58">
        <v>-6.74</v>
      </c>
      <c r="I300" s="58" t="s">
        <v>521</v>
      </c>
      <c r="J300" s="58" t="s">
        <v>524</v>
      </c>
      <c r="K300" s="433">
        <f>IF(I300="mg/L",H300,IF(I300="log-mg/L",10^H300,IF(I300="g/L",H300*1000,IF(I300="ug/L",H300/1000,IF(I300="ng/mL",H300/1000,IF(I300="mol/L",H300*G297*1000,IF(I300="log-mol/L",(10^(H300))*G297*1000)))))))</f>
        <v>0.10264932543418903</v>
      </c>
      <c r="L300" s="178">
        <f t="shared" ref="L300" si="174">IF(I300="log-mg/L",H300,LOG(K300))</f>
        <v>-0.98864390027460691</v>
      </c>
      <c r="M300" s="433">
        <f>IF(I300="mol/L",H300,(K300/1000)/G297)</f>
        <v>1.8197008586099811E-7</v>
      </c>
      <c r="N300" s="178">
        <f t="shared" ref="N300" si="175">IF(I300="log-mol/L",H300,LOG(M300))</f>
        <v>-6.74</v>
      </c>
      <c r="O300" s="58">
        <v>25</v>
      </c>
      <c r="P300" s="600" t="s">
        <v>525</v>
      </c>
      <c r="Q300" s="100">
        <f>VLOOKUP(P300,References!$B$7:$F$252,5,FALSE)</f>
        <v>61</v>
      </c>
    </row>
    <row r="301" spans="1:17" x14ac:dyDescent="0.2">
      <c r="A301" s="868"/>
      <c r="B301" s="869"/>
      <c r="C301" s="832"/>
      <c r="D301" s="832"/>
      <c r="E301" s="134" t="s">
        <v>407</v>
      </c>
      <c r="F301" s="58" t="s">
        <v>408</v>
      </c>
      <c r="G301" s="58">
        <v>564.1</v>
      </c>
      <c r="H301" s="375">
        <v>1.32E-11</v>
      </c>
      <c r="I301" s="58" t="s">
        <v>509</v>
      </c>
      <c r="J301" s="58" t="s">
        <v>513</v>
      </c>
      <c r="K301" s="433">
        <f>IF(I301="mg/L",H301,IF(I301="log-mg/L",10^H301,IF(I301="g/L",H301*1000,IF(I301="ug/L",H301/1000,IF(I301="ng/mL",H301/1000,IF(I301="mol/L",H301*G301*1000,IF(I301="log-mol/L",(10^(H301))*G301*1000)))))))</f>
        <v>7.4461200000000003E-6</v>
      </c>
      <c r="L301" s="178">
        <f t="shared" si="162"/>
        <v>-5.1280699690687568</v>
      </c>
      <c r="M301" s="433">
        <f>IF(I301="mol/L",H301,(K301/1000)/G301)</f>
        <v>1.32E-11</v>
      </c>
      <c r="N301" s="178">
        <f t="shared" si="163"/>
        <v>-10.87942606879415</v>
      </c>
      <c r="O301" s="58" t="s">
        <v>33</v>
      </c>
      <c r="P301" s="600" t="s">
        <v>511</v>
      </c>
      <c r="Q301" s="100">
        <f>VLOOKUP(P301,References!$B$7:$F$252,5,FALSE)</f>
        <v>36</v>
      </c>
    </row>
    <row r="302" spans="1:17" x14ac:dyDescent="0.2">
      <c r="A302" s="868"/>
      <c r="B302" s="869"/>
      <c r="C302" s="832"/>
      <c r="D302" s="832"/>
      <c r="E302" s="134" t="s">
        <v>407</v>
      </c>
      <c r="F302" s="58" t="s">
        <v>408</v>
      </c>
      <c r="G302" s="58">
        <v>564.1</v>
      </c>
      <c r="H302" s="375">
        <v>4.4000000000000002E-7</v>
      </c>
      <c r="I302" s="58" t="s">
        <v>509</v>
      </c>
      <c r="J302" s="58" t="s">
        <v>514</v>
      </c>
      <c r="K302" s="433">
        <f>IF(I302="mg/L",H302,IF(I302="log-mg/L",10^H302,IF(I302="g/L",H302*1000,IF(I302="ug/L",H302/1000,IF(I302="ng/mL",H302/1000,IF(I302="mol/L",H302*G302*1000,IF(I302="log-mol/L",(10^(H302))*G302*1000)))))))</f>
        <v>0.24820400000000004</v>
      </c>
      <c r="L302" s="178">
        <f t="shared" ref="L302" si="176">IF(I302="log-mg/L",H302,LOG(K302))</f>
        <v>-0.60519122378841883</v>
      </c>
      <c r="M302" s="433">
        <f>IF(I302="mol/L",H302,(K302/1000)/G302)</f>
        <v>4.4000000000000002E-7</v>
      </c>
      <c r="N302" s="178">
        <f t="shared" ref="N302" si="177">IF(I302="log-mol/L",H302,LOG(M302))</f>
        <v>-6.3565473235138121</v>
      </c>
      <c r="O302" s="58" t="s">
        <v>33</v>
      </c>
      <c r="P302" s="600" t="s">
        <v>511</v>
      </c>
      <c r="Q302" s="100">
        <f>VLOOKUP(P302,References!$B$7:$F$252,5,FALSE)</f>
        <v>36</v>
      </c>
    </row>
    <row r="303" spans="1:17" ht="17" thickBot="1" x14ac:dyDescent="0.25">
      <c r="A303" s="868"/>
      <c r="B303" s="869"/>
      <c r="C303" s="832"/>
      <c r="D303" s="832"/>
      <c r="E303" s="134" t="s">
        <v>407</v>
      </c>
      <c r="F303" s="58" t="s">
        <v>408</v>
      </c>
      <c r="G303" s="58">
        <v>564.1</v>
      </c>
      <c r="H303" s="375">
        <v>4.07E-8</v>
      </c>
      <c r="I303" s="58" t="s">
        <v>509</v>
      </c>
      <c r="J303" s="58" t="s">
        <v>515</v>
      </c>
      <c r="K303" s="433">
        <f>IF(I303="mg/L",H303,IF(I303="log-mg/L",10^H303,IF(I303="g/L",H303*1000,IF(I303="ug/L",H303/1000,IF(I303="ng/mL",H303/1000,IF(I303="mol/L",H303*G303*1000,IF(I303="log-mol/L",(10^(H303))*G303*1000)))))))</f>
        <v>2.2958870000000003E-2</v>
      </c>
      <c r="L303" s="178">
        <f t="shared" si="162"/>
        <v>-1.6390494910493862</v>
      </c>
      <c r="M303" s="433">
        <f>IF(I303="mol/L",H303,(K303/1000)/G303)</f>
        <v>4.07E-8</v>
      </c>
      <c r="N303" s="178">
        <f t="shared" si="163"/>
        <v>-7.3904055907747797</v>
      </c>
      <c r="O303" s="58">
        <v>25</v>
      </c>
      <c r="P303" s="600" t="s">
        <v>511</v>
      </c>
      <c r="Q303" s="100">
        <f>VLOOKUP(P303,References!$B$7:$F$252,5,FALSE)</f>
        <v>36</v>
      </c>
    </row>
    <row r="304" spans="1:17" s="2" customFormat="1" thickBot="1" x14ac:dyDescent="0.25">
      <c r="A304" s="237" t="s">
        <v>415</v>
      </c>
      <c r="B304" s="129" t="s">
        <v>416</v>
      </c>
      <c r="C304" s="128"/>
      <c r="D304" s="128"/>
      <c r="E304" s="128"/>
      <c r="F304" s="128"/>
      <c r="G304" s="128"/>
      <c r="H304" s="128"/>
      <c r="I304" s="128"/>
      <c r="J304" s="128"/>
      <c r="K304" s="594"/>
      <c r="L304" s="281"/>
      <c r="M304" s="594"/>
      <c r="N304" s="281"/>
      <c r="O304" s="128"/>
      <c r="P304" s="128"/>
      <c r="Q304" s="282"/>
    </row>
    <row r="305" spans="1:19" s="2" customFormat="1" ht="15" x14ac:dyDescent="0.2">
      <c r="A305" s="883" t="s">
        <v>417</v>
      </c>
      <c r="B305" s="831" t="s">
        <v>418</v>
      </c>
      <c r="C305" s="831">
        <v>180.03</v>
      </c>
      <c r="D305" s="831" t="s">
        <v>419</v>
      </c>
      <c r="E305" s="58" t="s">
        <v>418</v>
      </c>
      <c r="F305" s="58" t="s">
        <v>419</v>
      </c>
      <c r="G305" s="145">
        <v>180.03</v>
      </c>
      <c r="H305" s="58">
        <v>1.6500000000000001E-2</v>
      </c>
      <c r="I305" s="58" t="s">
        <v>509</v>
      </c>
      <c r="J305" s="58" t="s">
        <v>512</v>
      </c>
      <c r="K305" s="433">
        <f t="shared" ref="K305:K307" si="178">IF(I305="mg/L",H305,IF(I305="log-mg/L",10^H305,IF(I305="g/L",H305*1000,IF(I305="ug/L",H305/1000,IF(I305="ng/mL",H305/1000,IF(I305="mol/L",H305*G305*1000,IF(I305="log-mol/L",(10^(H305))*G305*1000)))))))</f>
        <v>2970.4949999999999</v>
      </c>
      <c r="L305" s="178">
        <f t="shared" ref="L305:L307" si="179">IF(I305="log-mg/L",H305,LOG(K305))</f>
        <v>3.4728288256996653</v>
      </c>
      <c r="M305" s="433">
        <f t="shared" ref="M305:M307" si="180">IF(I305="mol/L",H305,(K305/1000)/G305)</f>
        <v>1.6500000000000001E-2</v>
      </c>
      <c r="N305" s="178">
        <f t="shared" ref="N305:N307" si="181">IF(I305="log-mol/L",H305,LOG(M305))</f>
        <v>-1.7825160557860937</v>
      </c>
      <c r="O305" s="58" t="s">
        <v>33</v>
      </c>
      <c r="P305" s="600" t="s">
        <v>511</v>
      </c>
      <c r="Q305" s="100">
        <f>VLOOKUP(P305,References!$B$7:$F$252,5,FALSE)</f>
        <v>36</v>
      </c>
    </row>
    <row r="306" spans="1:19" s="2" customFormat="1" ht="15" x14ac:dyDescent="0.2">
      <c r="A306" s="853"/>
      <c r="B306" s="832"/>
      <c r="C306" s="832"/>
      <c r="D306" s="832"/>
      <c r="E306" s="58" t="s">
        <v>418</v>
      </c>
      <c r="F306" s="58" t="s">
        <v>419</v>
      </c>
      <c r="G306" s="145">
        <v>180.03</v>
      </c>
      <c r="H306" s="58">
        <v>0.28000000000000003</v>
      </c>
      <c r="I306" s="58" t="s">
        <v>509</v>
      </c>
      <c r="J306" s="58" t="s">
        <v>514</v>
      </c>
      <c r="K306" s="433">
        <f t="shared" si="178"/>
        <v>50408.400000000009</v>
      </c>
      <c r="L306" s="178">
        <f t="shared" si="179"/>
        <v>4.7025029128279785</v>
      </c>
      <c r="M306" s="433">
        <f t="shared" si="180"/>
        <v>0.28000000000000003</v>
      </c>
      <c r="N306" s="178">
        <f t="shared" si="181"/>
        <v>-0.55284196865778079</v>
      </c>
      <c r="O306" s="58" t="s">
        <v>33</v>
      </c>
      <c r="P306" s="600" t="s">
        <v>511</v>
      </c>
      <c r="Q306" s="100">
        <f>VLOOKUP(P306,References!$B$7:$F$252,5,FALSE)</f>
        <v>36</v>
      </c>
    </row>
    <row r="307" spans="1:19" s="2" customFormat="1" ht="15" x14ac:dyDescent="0.2">
      <c r="A307" s="854"/>
      <c r="B307" s="834"/>
      <c r="C307" s="834"/>
      <c r="D307" s="834"/>
      <c r="E307" s="59" t="s">
        <v>418</v>
      </c>
      <c r="F307" s="59" t="s">
        <v>419</v>
      </c>
      <c r="G307" s="239">
        <v>180.03</v>
      </c>
      <c r="H307" s="59">
        <v>1.17</v>
      </c>
      <c r="I307" s="59" t="s">
        <v>509</v>
      </c>
      <c r="J307" s="59" t="s">
        <v>515</v>
      </c>
      <c r="K307" s="469">
        <f t="shared" si="178"/>
        <v>210635.1</v>
      </c>
      <c r="L307" s="183">
        <f t="shared" si="179"/>
        <v>5.3235307432319203</v>
      </c>
      <c r="M307" s="469">
        <f t="shared" si="180"/>
        <v>1.17</v>
      </c>
      <c r="N307" s="183">
        <f t="shared" si="181"/>
        <v>6.8185861746161619E-2</v>
      </c>
      <c r="O307" s="59">
        <v>25</v>
      </c>
      <c r="P307" s="598" t="s">
        <v>511</v>
      </c>
      <c r="Q307" s="122">
        <f>VLOOKUP(P307,References!$B$7:$F$252,5,FALSE)</f>
        <v>36</v>
      </c>
    </row>
    <row r="308" spans="1:19" ht="17" x14ac:dyDescent="0.2">
      <c r="A308" s="868" t="s">
        <v>423</v>
      </c>
      <c r="B308" s="869" t="s">
        <v>541</v>
      </c>
      <c r="C308" s="832">
        <v>330.19</v>
      </c>
      <c r="D308" s="832" t="s">
        <v>426</v>
      </c>
      <c r="E308" s="58" t="s">
        <v>541</v>
      </c>
      <c r="F308" s="58" t="s">
        <v>426</v>
      </c>
      <c r="G308" s="58">
        <v>330.19</v>
      </c>
      <c r="H308" s="58">
        <v>-1.67</v>
      </c>
      <c r="I308" s="58" t="s">
        <v>521</v>
      </c>
      <c r="J308" s="58" t="s">
        <v>522</v>
      </c>
      <c r="K308" s="433">
        <f t="shared" ref="K308:K320" si="182">IF(I308="mg/L",H308,IF(I308="log-mg/L",10^H308,IF(I308="g/L",H308*1000,IF(I308="ug/L",H308/1000,IF(I308="ng/mL",H308/1000,IF(I308="mol/L",H308*G308*1000,IF(I308="log-mol/L",(10^(H308))*G308*1000)))))))</f>
        <v>7059.33702332742</v>
      </c>
      <c r="L308" s="178">
        <f t="shared" ref="L308:L320" si="183">IF(I308="log-mg/L",H308,LOG(K308))</f>
        <v>3.8487639162599585</v>
      </c>
      <c r="M308" s="433">
        <f t="shared" ref="M308:M320" si="184">IF(I308="mol/L",H308,(K308/1000)/G308)</f>
        <v>2.1379620895022322E-2</v>
      </c>
      <c r="N308" s="178">
        <f t="shared" ref="N308:N320" si="185">IF(I308="log-mol/L",H308,LOG(M308))</f>
        <v>-1.67</v>
      </c>
      <c r="O308" s="58" t="s">
        <v>33</v>
      </c>
      <c r="P308" s="600" t="s">
        <v>533</v>
      </c>
      <c r="Q308" s="100">
        <f>VLOOKUP(P308,References!$B$7:$F$252,5,FALSE)</f>
        <v>40</v>
      </c>
    </row>
    <row r="309" spans="1:19" ht="17" x14ac:dyDescent="0.2">
      <c r="A309" s="868"/>
      <c r="B309" s="869"/>
      <c r="C309" s="832"/>
      <c r="D309" s="832"/>
      <c r="E309" s="58" t="s">
        <v>541</v>
      </c>
      <c r="F309" s="58" t="s">
        <v>426</v>
      </c>
      <c r="G309" s="58">
        <v>330.19</v>
      </c>
      <c r="H309" s="58">
        <v>2.7E-2</v>
      </c>
      <c r="I309" s="58" t="s">
        <v>509</v>
      </c>
      <c r="J309" s="58" t="s">
        <v>514</v>
      </c>
      <c r="K309" s="433">
        <f t="shared" si="182"/>
        <v>8915.1299999999992</v>
      </c>
      <c r="L309" s="178">
        <f t="shared" si="183"/>
        <v>3.9501276804189458</v>
      </c>
      <c r="M309" s="433">
        <f t="shared" si="184"/>
        <v>2.7E-2</v>
      </c>
      <c r="N309" s="178">
        <f t="shared" si="185"/>
        <v>-1.5686362358410126</v>
      </c>
      <c r="O309" s="58" t="s">
        <v>33</v>
      </c>
      <c r="P309" s="600" t="s">
        <v>511</v>
      </c>
      <c r="Q309" s="100">
        <f>VLOOKUP(P309,References!$B$7:$F$252,5,FALSE)</f>
        <v>36</v>
      </c>
    </row>
    <row r="310" spans="1:19" ht="17" x14ac:dyDescent="0.2">
      <c r="A310" s="868"/>
      <c r="B310" s="869"/>
      <c r="C310" s="832"/>
      <c r="D310" s="834"/>
      <c r="E310" s="59" t="s">
        <v>541</v>
      </c>
      <c r="F310" s="59" t="s">
        <v>426</v>
      </c>
      <c r="G310" s="59">
        <v>330.19</v>
      </c>
      <c r="H310" s="327">
        <v>1.1100000000000001E-3</v>
      </c>
      <c r="I310" s="59" t="s">
        <v>509</v>
      </c>
      <c r="J310" s="59" t="s">
        <v>515</v>
      </c>
      <c r="K310" s="469">
        <f t="shared" si="182"/>
        <v>366.51090000000005</v>
      </c>
      <c r="L310" s="183">
        <f t="shared" si="183"/>
        <v>2.564086895046616</v>
      </c>
      <c r="M310" s="469">
        <f t="shared" si="184"/>
        <v>1.1100000000000001E-3</v>
      </c>
      <c r="N310" s="183">
        <f t="shared" si="185"/>
        <v>-2.9546770212133424</v>
      </c>
      <c r="O310" s="59">
        <v>25</v>
      </c>
      <c r="P310" s="598" t="s">
        <v>511</v>
      </c>
      <c r="Q310" s="100">
        <f>VLOOKUP(P310,References!$B$7:$F$252,5,FALSE)</f>
        <v>36</v>
      </c>
    </row>
    <row r="311" spans="1:19" s="2" customFormat="1" ht="18" customHeight="1" x14ac:dyDescent="0.2">
      <c r="A311" s="322" t="s">
        <v>432</v>
      </c>
      <c r="B311" s="153" t="s">
        <v>542</v>
      </c>
      <c r="C311" s="153">
        <v>347.1</v>
      </c>
      <c r="D311" s="239" t="s">
        <v>435</v>
      </c>
      <c r="E311" s="59" t="s">
        <v>543</v>
      </c>
      <c r="F311" s="59" t="s">
        <v>435</v>
      </c>
      <c r="G311" s="59">
        <v>347.1</v>
      </c>
      <c r="H311" s="59">
        <v>739</v>
      </c>
      <c r="I311" s="59" t="s">
        <v>527</v>
      </c>
      <c r="J311" s="59" t="s">
        <v>524</v>
      </c>
      <c r="K311" s="469">
        <f t="shared" si="182"/>
        <v>739000</v>
      </c>
      <c r="L311" s="183">
        <f t="shared" ref="L311" si="186">IF(I311="log-mg/L",H311,LOG(K311))</f>
        <v>5.868644438394826</v>
      </c>
      <c r="M311" s="469">
        <f t="shared" si="184"/>
        <v>2.1290694324402186</v>
      </c>
      <c r="N311" s="183">
        <f t="shared" ref="N311" si="187">IF(I311="log-mol/L",H311,LOG(M311))</f>
        <v>0.32818982472341368</v>
      </c>
      <c r="O311" s="59">
        <v>20</v>
      </c>
      <c r="P311" s="37" t="s">
        <v>436</v>
      </c>
      <c r="Q311" s="235">
        <f>VLOOKUP(P311,References!$B$7:$F$252,5,FALSE)</f>
        <v>32</v>
      </c>
      <c r="R311" s="58"/>
      <c r="S311" s="3"/>
    </row>
    <row r="312" spans="1:19" x14ac:dyDescent="0.2">
      <c r="A312" s="830" t="s">
        <v>437</v>
      </c>
      <c r="B312" s="832" t="s">
        <v>438</v>
      </c>
      <c r="C312" s="841">
        <v>230</v>
      </c>
      <c r="D312" s="832" t="s">
        <v>440</v>
      </c>
      <c r="E312" s="58" t="s">
        <v>438</v>
      </c>
      <c r="F312" s="58" t="s">
        <v>440</v>
      </c>
      <c r="G312" s="133">
        <v>230</v>
      </c>
      <c r="H312" s="375">
        <v>3.7200000000000002E-3</v>
      </c>
      <c r="I312" s="58" t="s">
        <v>509</v>
      </c>
      <c r="J312" s="58" t="s">
        <v>513</v>
      </c>
      <c r="K312" s="433">
        <f t="shared" si="182"/>
        <v>855.6</v>
      </c>
      <c r="L312" s="178">
        <f t="shared" si="183"/>
        <v>2.9322707758994904</v>
      </c>
      <c r="M312" s="433">
        <f t="shared" si="184"/>
        <v>3.7200000000000002E-3</v>
      </c>
      <c r="N312" s="178">
        <f t="shared" si="185"/>
        <v>-2.4294570601181023</v>
      </c>
      <c r="O312" s="58" t="s">
        <v>33</v>
      </c>
      <c r="P312" s="600" t="s">
        <v>511</v>
      </c>
      <c r="Q312" s="100">
        <f>VLOOKUP(P312,References!$B$7:$F$252,5,FALSE)</f>
        <v>36</v>
      </c>
    </row>
    <row r="313" spans="1:19" x14ac:dyDescent="0.2">
      <c r="A313" s="830"/>
      <c r="B313" s="832"/>
      <c r="C313" s="841"/>
      <c r="D313" s="832"/>
      <c r="E313" s="58" t="s">
        <v>438</v>
      </c>
      <c r="F313" s="58" t="s">
        <v>440</v>
      </c>
      <c r="G313" s="133">
        <v>230</v>
      </c>
      <c r="H313" s="449">
        <v>0.13800000000000001</v>
      </c>
      <c r="I313" s="58" t="s">
        <v>509</v>
      </c>
      <c r="J313" s="58" t="s">
        <v>515</v>
      </c>
      <c r="K313" s="433">
        <f t="shared" si="182"/>
        <v>31740.000000000004</v>
      </c>
      <c r="L313" s="178">
        <f t="shared" si="183"/>
        <v>4.5016069224188291</v>
      </c>
      <c r="M313" s="433">
        <f t="shared" si="184"/>
        <v>0.13800000000000001</v>
      </c>
      <c r="N313" s="178">
        <f t="shared" si="185"/>
        <v>-0.86012091359876341</v>
      </c>
      <c r="O313" s="58">
        <v>25</v>
      </c>
      <c r="P313" s="600" t="s">
        <v>511</v>
      </c>
      <c r="Q313" s="100">
        <f>VLOOKUP(P313,References!$B$7:$F$252,5,FALSE)</f>
        <v>36</v>
      </c>
    </row>
    <row r="314" spans="1:19" x14ac:dyDescent="0.2">
      <c r="A314" s="847"/>
      <c r="B314" s="834"/>
      <c r="C314" s="842"/>
      <c r="D314" s="834"/>
      <c r="E314" s="59" t="s">
        <v>438</v>
      </c>
      <c r="F314" s="59" t="s">
        <v>440</v>
      </c>
      <c r="G314" s="294">
        <v>230</v>
      </c>
      <c r="H314" s="345">
        <v>1.34E-3</v>
      </c>
      <c r="I314" s="59" t="s">
        <v>509</v>
      </c>
      <c r="J314" s="59" t="s">
        <v>512</v>
      </c>
      <c r="K314" s="469">
        <f t="shared" si="182"/>
        <v>308.20000000000005</v>
      </c>
      <c r="L314" s="183">
        <f t="shared" si="183"/>
        <v>2.4888326343824008</v>
      </c>
      <c r="M314" s="469">
        <f t="shared" si="184"/>
        <v>1.34E-3</v>
      </c>
      <c r="N314" s="183">
        <f t="shared" si="185"/>
        <v>-2.8728952016351923</v>
      </c>
      <c r="O314" s="59" t="s">
        <v>33</v>
      </c>
      <c r="P314" s="598" t="s">
        <v>511</v>
      </c>
      <c r="Q314" s="122">
        <f>VLOOKUP(P314,References!$B$7:$F$252,5,FALSE)</f>
        <v>36</v>
      </c>
    </row>
    <row r="315" spans="1:19" x14ac:dyDescent="0.2">
      <c r="A315" s="830" t="s">
        <v>444</v>
      </c>
      <c r="B315" s="832" t="s">
        <v>445</v>
      </c>
      <c r="C315" s="841">
        <v>280</v>
      </c>
      <c r="D315" s="832" t="s">
        <v>447</v>
      </c>
      <c r="E315" s="58" t="s">
        <v>445</v>
      </c>
      <c r="F315" s="58" t="s">
        <v>447</v>
      </c>
      <c r="G315" s="133">
        <v>280</v>
      </c>
      <c r="H315" s="375">
        <v>5.4000000000000001E-4</v>
      </c>
      <c r="I315" s="58" t="s">
        <v>509</v>
      </c>
      <c r="J315" s="58" t="s">
        <v>512</v>
      </c>
      <c r="K315" s="433">
        <f t="shared" si="182"/>
        <v>151.19999999999999</v>
      </c>
      <c r="L315" s="178">
        <f t="shared" si="183"/>
        <v>2.1795517911651876</v>
      </c>
      <c r="M315" s="433">
        <f t="shared" si="184"/>
        <v>5.4000000000000001E-4</v>
      </c>
      <c r="N315" s="178">
        <f t="shared" si="185"/>
        <v>-3.2676062401770314</v>
      </c>
      <c r="O315" s="58" t="s">
        <v>33</v>
      </c>
      <c r="P315" s="600" t="s">
        <v>511</v>
      </c>
      <c r="Q315" s="100">
        <f>VLOOKUP(P315,References!$B$7:$F$252,5,FALSE)</f>
        <v>36</v>
      </c>
    </row>
    <row r="316" spans="1:19" x14ac:dyDescent="0.2">
      <c r="A316" s="830"/>
      <c r="B316" s="832"/>
      <c r="C316" s="841"/>
      <c r="D316" s="832"/>
      <c r="E316" s="58" t="s">
        <v>445</v>
      </c>
      <c r="F316" s="58" t="s">
        <v>447</v>
      </c>
      <c r="G316" s="133">
        <v>280</v>
      </c>
      <c r="H316" s="450">
        <v>1.2E-2</v>
      </c>
      <c r="I316" s="58" t="s">
        <v>509</v>
      </c>
      <c r="J316" s="58" t="s">
        <v>514</v>
      </c>
      <c r="K316" s="433">
        <f t="shared" si="182"/>
        <v>3360</v>
      </c>
      <c r="L316" s="178">
        <f t="shared" si="183"/>
        <v>3.5263392773898441</v>
      </c>
      <c r="M316" s="433">
        <f t="shared" si="184"/>
        <v>1.2E-2</v>
      </c>
      <c r="N316" s="178">
        <f t="shared" si="185"/>
        <v>-1.9208187539523751</v>
      </c>
      <c r="O316" s="58" t="s">
        <v>33</v>
      </c>
      <c r="P316" s="600" t="s">
        <v>511</v>
      </c>
      <c r="Q316" s="100">
        <f>VLOOKUP(P316,References!$B$7:$F$252,5,FALSE)</f>
        <v>36</v>
      </c>
    </row>
    <row r="317" spans="1:19" x14ac:dyDescent="0.2">
      <c r="A317" s="830"/>
      <c r="B317" s="832"/>
      <c r="C317" s="841"/>
      <c r="D317" s="834"/>
      <c r="E317" s="59" t="s">
        <v>445</v>
      </c>
      <c r="F317" s="59" t="s">
        <v>447</v>
      </c>
      <c r="G317" s="294">
        <v>280</v>
      </c>
      <c r="H317" s="345">
        <v>1.06E-3</v>
      </c>
      <c r="I317" s="59" t="s">
        <v>509</v>
      </c>
      <c r="J317" s="59" t="s">
        <v>515</v>
      </c>
      <c r="K317" s="469">
        <f t="shared" si="182"/>
        <v>296.8</v>
      </c>
      <c r="L317" s="183">
        <f t="shared" si="183"/>
        <v>2.4724638966069894</v>
      </c>
      <c r="M317" s="469">
        <f t="shared" si="184"/>
        <v>1.06E-3</v>
      </c>
      <c r="N317" s="183">
        <f t="shared" si="185"/>
        <v>-2.9746941347352296</v>
      </c>
      <c r="O317" s="59">
        <v>25</v>
      </c>
      <c r="P317" s="598" t="s">
        <v>511</v>
      </c>
      <c r="Q317" s="100">
        <f>VLOOKUP(P317,References!$B$7:$F$252,5,FALSE)</f>
        <v>36</v>
      </c>
    </row>
    <row r="318" spans="1:19" x14ac:dyDescent="0.2">
      <c r="A318" s="839" t="s">
        <v>451</v>
      </c>
      <c r="B318" s="833" t="s">
        <v>452</v>
      </c>
      <c r="C318" s="843">
        <v>296</v>
      </c>
      <c r="D318" s="832" t="s">
        <v>454</v>
      </c>
      <c r="E318" s="58" t="s">
        <v>452</v>
      </c>
      <c r="F318" s="58" t="s">
        <v>454</v>
      </c>
      <c r="G318" s="133">
        <v>296</v>
      </c>
      <c r="H318" s="375">
        <v>9.7900000000000005E-4</v>
      </c>
      <c r="I318" s="58" t="s">
        <v>509</v>
      </c>
      <c r="J318" s="58" t="s">
        <v>512</v>
      </c>
      <c r="K318" s="433">
        <f t="shared" si="182"/>
        <v>289.78400000000005</v>
      </c>
      <c r="L318" s="178">
        <f t="shared" si="183"/>
        <v>2.4620744028620765</v>
      </c>
      <c r="M318" s="433">
        <f t="shared" si="184"/>
        <v>9.7900000000000005E-4</v>
      </c>
      <c r="N318" s="178">
        <f t="shared" si="185"/>
        <v>-3.0092173081968623</v>
      </c>
      <c r="O318" s="58" t="s">
        <v>33</v>
      </c>
      <c r="P318" s="600" t="s">
        <v>511</v>
      </c>
      <c r="Q318" s="121">
        <f>VLOOKUP(P318,References!$B$7:$F$252,5,FALSE)</f>
        <v>36</v>
      </c>
    </row>
    <row r="319" spans="1:19" x14ac:dyDescent="0.2">
      <c r="A319" s="838"/>
      <c r="B319" s="832"/>
      <c r="C319" s="841"/>
      <c r="D319" s="832"/>
      <c r="E319" s="58" t="s">
        <v>452</v>
      </c>
      <c r="F319" s="58" t="s">
        <v>454</v>
      </c>
      <c r="G319" s="133">
        <v>296</v>
      </c>
      <c r="H319" s="449">
        <v>1.4E-2</v>
      </c>
      <c r="I319" s="58" t="s">
        <v>509</v>
      </c>
      <c r="J319" s="58" t="s">
        <v>514</v>
      </c>
      <c r="K319" s="433">
        <f t="shared" si="182"/>
        <v>4144</v>
      </c>
      <c r="L319" s="178">
        <f t="shared" si="183"/>
        <v>3.6174197467371765</v>
      </c>
      <c r="M319" s="433">
        <f t="shared" si="184"/>
        <v>1.4E-2</v>
      </c>
      <c r="N319" s="178">
        <f t="shared" si="185"/>
        <v>-1.853871964321762</v>
      </c>
      <c r="O319" s="58" t="s">
        <v>33</v>
      </c>
      <c r="P319" s="600" t="s">
        <v>511</v>
      </c>
      <c r="Q319" s="100">
        <f>VLOOKUP(P319,References!$B$7:$F$252,5,FALSE)</f>
        <v>36</v>
      </c>
    </row>
    <row r="320" spans="1:19" ht="17" thickBot="1" x14ac:dyDescent="0.25">
      <c r="A320" s="838"/>
      <c r="B320" s="832"/>
      <c r="C320" s="841"/>
      <c r="D320" s="832"/>
      <c r="E320" s="58" t="s">
        <v>452</v>
      </c>
      <c r="F320" s="58" t="s">
        <v>454</v>
      </c>
      <c r="G320" s="133">
        <v>296</v>
      </c>
      <c r="H320" s="375">
        <v>1.49E-3</v>
      </c>
      <c r="I320" s="58" t="s">
        <v>509</v>
      </c>
      <c r="J320" s="58" t="s">
        <v>515</v>
      </c>
      <c r="K320" s="433">
        <f t="shared" si="182"/>
        <v>441.03999999999996</v>
      </c>
      <c r="L320" s="178">
        <f t="shared" si="183"/>
        <v>2.6444779794712128</v>
      </c>
      <c r="M320" s="433">
        <f t="shared" si="184"/>
        <v>1.49E-3</v>
      </c>
      <c r="N320" s="178">
        <f t="shared" si="185"/>
        <v>-2.826813731587726</v>
      </c>
      <c r="O320" s="58">
        <v>25</v>
      </c>
      <c r="P320" s="600" t="s">
        <v>511</v>
      </c>
      <c r="Q320" s="100">
        <f>VLOOKUP(P320,References!$B$7:$F$252,5,FALSE)</f>
        <v>36</v>
      </c>
    </row>
    <row r="321" spans="1:18" s="2" customFormat="1" thickBot="1" x14ac:dyDescent="0.25">
      <c r="A321" s="130" t="s">
        <v>458</v>
      </c>
      <c r="B321" s="129" t="s">
        <v>459</v>
      </c>
      <c r="C321" s="129"/>
      <c r="D321" s="129"/>
      <c r="E321" s="129"/>
      <c r="F321" s="129"/>
      <c r="G321" s="129"/>
      <c r="H321" s="129"/>
      <c r="I321" s="129"/>
      <c r="J321" s="129"/>
      <c r="K321" s="594"/>
      <c r="L321" s="279"/>
      <c r="M321" s="594"/>
      <c r="N321" s="279"/>
      <c r="O321" s="129"/>
      <c r="P321" s="129"/>
      <c r="Q321" s="280"/>
    </row>
    <row r="322" spans="1:18" x14ac:dyDescent="0.2">
      <c r="A322" s="868" t="s">
        <v>460</v>
      </c>
      <c r="B322" s="869" t="s">
        <v>461</v>
      </c>
      <c r="C322" s="832">
        <v>632.6</v>
      </c>
      <c r="D322" s="832" t="s">
        <v>463</v>
      </c>
      <c r="E322" s="58" t="s">
        <v>544</v>
      </c>
      <c r="F322" s="58" t="s">
        <v>463</v>
      </c>
      <c r="G322" s="58">
        <v>632.6</v>
      </c>
      <c r="H322" s="354">
        <v>3.8999999999999999E-5</v>
      </c>
      <c r="I322" s="58" t="s">
        <v>509</v>
      </c>
      <c r="J322" s="58" t="s">
        <v>514</v>
      </c>
      <c r="K322" s="433">
        <f t="shared" ref="K322:K328" si="188">IF(I322="mg/L",H322,IF(I322="log-mg/L",10^H322,IF(I322="g/L",H322*1000,IF(I322="ug/L",H322/1000,IF(I322="ng/mL",H322/1000,IF(I322="mol/L",H322*G322*1000,IF(I322="log-mol/L",(10^(H322))*G322*1000)))))))</f>
        <v>24.671399999999998</v>
      </c>
      <c r="L322" s="178">
        <f t="shared" ref="L322:L328" si="189">IF(I322="log-mg/L",H322,LOG(K322))</f>
        <v>1.3921937946062033</v>
      </c>
      <c r="M322" s="433">
        <f t="shared" ref="M322:M328" si="190">IF(I322="mol/L",H322,(K322/1000)/G322)</f>
        <v>3.8999999999999999E-5</v>
      </c>
      <c r="N322" s="178">
        <f t="shared" ref="N322:N328" si="191">IF(I322="log-mol/L",H322,LOG(M322))</f>
        <v>-4.4089353929735005</v>
      </c>
      <c r="O322" s="58" t="s">
        <v>33</v>
      </c>
      <c r="P322" s="600" t="s">
        <v>511</v>
      </c>
      <c r="Q322" s="100">
        <f>VLOOKUP(P322,References!$B$7:$F$252,5,FALSE)</f>
        <v>36</v>
      </c>
    </row>
    <row r="323" spans="1:18" x14ac:dyDescent="0.2">
      <c r="A323" s="868"/>
      <c r="B323" s="869"/>
      <c r="C323" s="832"/>
      <c r="D323" s="834"/>
      <c r="E323" s="59" t="s">
        <v>544</v>
      </c>
      <c r="F323" s="59" t="s">
        <v>463</v>
      </c>
      <c r="G323" s="59">
        <v>632.6</v>
      </c>
      <c r="H323" s="327">
        <v>4.2300000000000002E-6</v>
      </c>
      <c r="I323" s="59" t="s">
        <v>509</v>
      </c>
      <c r="J323" s="59" t="s">
        <v>515</v>
      </c>
      <c r="K323" s="469">
        <f t="shared" si="188"/>
        <v>2.6758980000000006</v>
      </c>
      <c r="L323" s="183">
        <f t="shared" si="189"/>
        <v>0.42746955495474648</v>
      </c>
      <c r="M323" s="469">
        <f t="shared" si="190"/>
        <v>4.2300000000000002E-6</v>
      </c>
      <c r="N323" s="183">
        <f t="shared" si="191"/>
        <v>-5.3736596326249577</v>
      </c>
      <c r="O323" s="59">
        <v>25</v>
      </c>
      <c r="P323" s="598" t="s">
        <v>511</v>
      </c>
      <c r="Q323" s="100">
        <f>VLOOKUP(P323,References!$B$7:$F$252,5,FALSE)</f>
        <v>36</v>
      </c>
    </row>
    <row r="324" spans="1:18" x14ac:dyDescent="0.2">
      <c r="A324" s="867" t="s">
        <v>464</v>
      </c>
      <c r="B324" s="850" t="s">
        <v>465</v>
      </c>
      <c r="C324" s="833">
        <v>532.6</v>
      </c>
      <c r="D324" s="832" t="s">
        <v>467</v>
      </c>
      <c r="E324" s="58" t="s">
        <v>545</v>
      </c>
      <c r="F324" s="58" t="s">
        <v>467</v>
      </c>
      <c r="G324" s="58">
        <v>532.6</v>
      </c>
      <c r="H324" s="354">
        <v>8.7000000000000001E-4</v>
      </c>
      <c r="I324" s="58" t="s">
        <v>509</v>
      </c>
      <c r="J324" s="58" t="s">
        <v>514</v>
      </c>
      <c r="K324" s="433">
        <f t="shared" si="188"/>
        <v>463.36200000000002</v>
      </c>
      <c r="L324" s="178">
        <f t="shared" si="189"/>
        <v>2.665920414721541</v>
      </c>
      <c r="M324" s="433">
        <f t="shared" si="190"/>
        <v>8.7000000000000001E-4</v>
      </c>
      <c r="N324" s="178">
        <f t="shared" si="191"/>
        <v>-3.0604807473813813</v>
      </c>
      <c r="O324" s="58" t="s">
        <v>33</v>
      </c>
      <c r="P324" s="600" t="s">
        <v>511</v>
      </c>
      <c r="Q324" s="121">
        <f>VLOOKUP(P324,References!$B$7:$F$252,5,FALSE)</f>
        <v>36</v>
      </c>
    </row>
    <row r="325" spans="1:18" x14ac:dyDescent="0.2">
      <c r="A325" s="879"/>
      <c r="B325" s="851"/>
      <c r="C325" s="834"/>
      <c r="D325" s="834"/>
      <c r="E325" s="59" t="s">
        <v>545</v>
      </c>
      <c r="F325" s="59" t="s">
        <v>467</v>
      </c>
      <c r="G325" s="59">
        <v>532.6</v>
      </c>
      <c r="H325" s="327">
        <v>1.2500000000000001E-5</v>
      </c>
      <c r="I325" s="59" t="s">
        <v>509</v>
      </c>
      <c r="J325" s="59" t="s">
        <v>515</v>
      </c>
      <c r="K325" s="469">
        <f t="shared" si="188"/>
        <v>6.6575000000000006</v>
      </c>
      <c r="L325" s="183">
        <f t="shared" si="189"/>
        <v>0.82331117511097884</v>
      </c>
      <c r="M325" s="469">
        <f t="shared" si="190"/>
        <v>1.2500000000000001E-5</v>
      </c>
      <c r="N325" s="183">
        <f t="shared" si="191"/>
        <v>-4.9030899869919438</v>
      </c>
      <c r="O325" s="59">
        <v>25</v>
      </c>
      <c r="P325" s="598" t="s">
        <v>511</v>
      </c>
      <c r="Q325" s="122">
        <f>VLOOKUP(P325,References!$B$7:$F$252,5,FALSE)</f>
        <v>36</v>
      </c>
    </row>
    <row r="326" spans="1:18" x14ac:dyDescent="0.2">
      <c r="A326" s="838" t="s">
        <v>468</v>
      </c>
      <c r="B326" s="832" t="s">
        <v>469</v>
      </c>
      <c r="C326" s="832">
        <v>316.10000000000002</v>
      </c>
      <c r="D326" s="832" t="s">
        <v>471</v>
      </c>
      <c r="E326" s="134" t="s">
        <v>469</v>
      </c>
      <c r="F326" s="58" t="s">
        <v>471</v>
      </c>
      <c r="G326" s="58">
        <v>316.10000000000002</v>
      </c>
      <c r="H326" s="375">
        <v>4.2199999999999998E-3</v>
      </c>
      <c r="I326" s="58" t="s">
        <v>509</v>
      </c>
      <c r="J326" s="58" t="s">
        <v>512</v>
      </c>
      <c r="K326" s="433">
        <f t="shared" si="188"/>
        <v>1333.942</v>
      </c>
      <c r="L326" s="178">
        <f t="shared" si="189"/>
        <v>3.1251369468012538</v>
      </c>
      <c r="M326" s="433">
        <f t="shared" si="190"/>
        <v>4.2199999999999998E-3</v>
      </c>
      <c r="N326" s="178">
        <f t="shared" si="191"/>
        <v>-2.3746875490383261</v>
      </c>
      <c r="O326" s="58" t="s">
        <v>33</v>
      </c>
      <c r="P326" s="600" t="s">
        <v>511</v>
      </c>
      <c r="Q326" s="100">
        <f>VLOOKUP(P326,References!$B$7:$F$252,5,FALSE)</f>
        <v>36</v>
      </c>
    </row>
    <row r="327" spans="1:18" x14ac:dyDescent="0.2">
      <c r="A327" s="838"/>
      <c r="B327" s="832"/>
      <c r="C327" s="832"/>
      <c r="D327" s="832"/>
      <c r="E327" s="134" t="s">
        <v>469</v>
      </c>
      <c r="F327" s="58" t="s">
        <v>471</v>
      </c>
      <c r="G327" s="58">
        <v>316.10000000000002</v>
      </c>
      <c r="H327" s="449">
        <v>2.25</v>
      </c>
      <c r="I327" s="58" t="s">
        <v>509</v>
      </c>
      <c r="J327" s="58" t="s">
        <v>514</v>
      </c>
      <c r="K327" s="433">
        <f t="shared" ref="K327" si="192">IF(I327="mg/L",H327,IF(I327="log-mg/L",10^H327,IF(I327="g/L",H327*1000,IF(I327="ug/L",H327/1000,IF(I327="ng/mL",H327/1000,IF(I327="mol/L",H327*G327*1000,IF(I327="log-mol/L",(10^(H327))*G327*1000)))))))</f>
        <v>711225</v>
      </c>
      <c r="L327" s="178">
        <f t="shared" ref="L327" si="193">IF(I327="log-mg/L",H327,LOG(K327))</f>
        <v>5.8520070139509421</v>
      </c>
      <c r="M327" s="433">
        <f t="shared" ref="M327" si="194">IF(I327="mol/L",H327,(K327/1000)/G327)</f>
        <v>2.25</v>
      </c>
      <c r="N327" s="178">
        <f t="shared" ref="N327" si="195">IF(I327="log-mol/L",H327,LOG(M327))</f>
        <v>0.35218251811136247</v>
      </c>
      <c r="O327" s="58" t="s">
        <v>33</v>
      </c>
      <c r="P327" s="600" t="s">
        <v>511</v>
      </c>
      <c r="Q327" s="100">
        <f>VLOOKUP(P327,References!$B$7:$F$252,5,FALSE)</f>
        <v>36</v>
      </c>
    </row>
    <row r="328" spans="1:18" ht="17" thickBot="1" x14ac:dyDescent="0.25">
      <c r="A328" s="838"/>
      <c r="B328" s="832"/>
      <c r="C328" s="832"/>
      <c r="D328" s="832"/>
      <c r="E328" s="134" t="s">
        <v>469</v>
      </c>
      <c r="F328" s="58" t="s">
        <v>471</v>
      </c>
      <c r="G328" s="58">
        <v>316.10000000000002</v>
      </c>
      <c r="H328" s="375">
        <v>8.0599999999999997E-4</v>
      </c>
      <c r="I328" s="58" t="s">
        <v>509</v>
      </c>
      <c r="J328" s="58" t="s">
        <v>515</v>
      </c>
      <c r="K328" s="433">
        <f t="shared" si="188"/>
        <v>254.77660000000003</v>
      </c>
      <c r="L328" s="178">
        <f t="shared" si="189"/>
        <v>2.4061595376446703</v>
      </c>
      <c r="M328" s="433">
        <f t="shared" si="190"/>
        <v>8.0599999999999997E-4</v>
      </c>
      <c r="N328" s="178">
        <f t="shared" si="191"/>
        <v>-3.0936649581949092</v>
      </c>
      <c r="O328" s="58">
        <v>25</v>
      </c>
      <c r="P328" s="600" t="s">
        <v>511</v>
      </c>
      <c r="Q328" s="100">
        <f>VLOOKUP(P328,References!$B$7:$F$252,5,FALSE)</f>
        <v>36</v>
      </c>
    </row>
    <row r="329" spans="1:18" ht="17" thickBot="1" x14ac:dyDescent="0.25">
      <c r="A329" s="237" t="s">
        <v>475</v>
      </c>
      <c r="B329" s="158"/>
      <c r="C329" s="82"/>
      <c r="D329" s="82"/>
      <c r="E329" s="79"/>
      <c r="F329" s="175"/>
      <c r="G329" s="175"/>
      <c r="H329" s="175"/>
      <c r="I329" s="175"/>
      <c r="J329" s="175"/>
      <c r="K329" s="594"/>
      <c r="L329" s="276"/>
      <c r="M329" s="594"/>
      <c r="N329" s="276"/>
      <c r="O329" s="175"/>
      <c r="P329" s="277"/>
      <c r="Q329" s="278"/>
    </row>
    <row r="330" spans="1:18" x14ac:dyDescent="0.2">
      <c r="A330" s="868" t="s">
        <v>476</v>
      </c>
      <c r="B330" s="869" t="s">
        <v>477</v>
      </c>
      <c r="C330" s="841">
        <v>378.1</v>
      </c>
      <c r="D330" s="832" t="s">
        <v>479</v>
      </c>
      <c r="E330" s="58" t="s">
        <v>477</v>
      </c>
      <c r="F330" s="58" t="s">
        <v>479</v>
      </c>
      <c r="G330" s="178">
        <v>378.1</v>
      </c>
      <c r="H330" s="58">
        <v>-2.08</v>
      </c>
      <c r="I330" s="58" t="s">
        <v>521</v>
      </c>
      <c r="J330" s="58" t="s">
        <v>522</v>
      </c>
      <c r="K330" s="433">
        <f>IF(I330="mg/L",H330,IF(I330="log-mg/L",10^H330,IF(I330="g/L",H330*1000,IF(I330="ug/L",H330/1000,IF(I330="ng/mL",H330/1000,IF(I330="mol/L",H330*G330*1000,IF(I330="log-mol/L",(10^(H330))*G330*1000)))))))</f>
        <v>3144.8988185391977</v>
      </c>
      <c r="L330" s="178">
        <f>IF(I330="log-mg/L",H330,LOG(K330))</f>
        <v>3.4976066773625356</v>
      </c>
      <c r="M330" s="433">
        <f>IF(I330="mol/L",H330,(K330/1000)/G330)</f>
        <v>8.3176377110267055E-3</v>
      </c>
      <c r="N330" s="178">
        <f>IF(I330="log-mol/L",H330,LOG(M330))</f>
        <v>-2.08</v>
      </c>
      <c r="O330" s="58" t="s">
        <v>33</v>
      </c>
      <c r="P330" s="600" t="s">
        <v>523</v>
      </c>
      <c r="Q330" s="100">
        <f>VLOOKUP(P330,References!$B$7:$F$252,5,FALSE)</f>
        <v>127</v>
      </c>
    </row>
    <row r="331" spans="1:18" x14ac:dyDescent="0.2">
      <c r="A331" s="868"/>
      <c r="B331" s="869"/>
      <c r="C331" s="841"/>
      <c r="D331" s="832"/>
      <c r="E331" s="58" t="s">
        <v>477</v>
      </c>
      <c r="F331" s="58" t="s">
        <v>479</v>
      </c>
      <c r="G331" s="178">
        <v>378.1</v>
      </c>
      <c r="H331" s="58">
        <v>-2.93</v>
      </c>
      <c r="I331" s="58" t="s">
        <v>521</v>
      </c>
      <c r="J331" s="58" t="s">
        <v>522</v>
      </c>
      <c r="K331" s="433">
        <f>IF(I331="mg/L",H331,IF(I331="log-mg/L",10^H331,IF(I331="g/L",H331*1000,IF(I331="ug/L",H331/1000,IF(I331="ng/mL",H331/1000,IF(I331="mol/L",H331*G331*1000,IF(I331="log-mol/L",(10^(H331))*G331*1000)))))))</f>
        <v>444.22876552263557</v>
      </c>
      <c r="L331" s="178">
        <f>IF(I331="log-mg/L",H331,LOG(K331))</f>
        <v>2.6476066773625351</v>
      </c>
      <c r="M331" s="433">
        <f>IF(I331="mol/L",H331,(K331/1000)/G331)</f>
        <v>1.174897554939528E-3</v>
      </c>
      <c r="N331" s="178">
        <f>IF(I331="log-mol/L",H331,LOG(M331))</f>
        <v>-2.93</v>
      </c>
      <c r="O331" s="58" t="s">
        <v>33</v>
      </c>
      <c r="P331" s="600" t="s">
        <v>533</v>
      </c>
      <c r="Q331" s="100">
        <f>VLOOKUP(P331,References!$B$7:$F$252,5,FALSE)</f>
        <v>40</v>
      </c>
    </row>
    <row r="332" spans="1:18" x14ac:dyDescent="0.2">
      <c r="A332" s="868"/>
      <c r="B332" s="869"/>
      <c r="C332" s="841"/>
      <c r="D332" s="832"/>
      <c r="E332" s="58" t="s">
        <v>477</v>
      </c>
      <c r="F332" s="58" t="s">
        <v>479</v>
      </c>
      <c r="G332" s="178">
        <v>378.1</v>
      </c>
      <c r="H332" s="354">
        <v>2.5000000000000001E-3</v>
      </c>
      <c r="I332" s="58" t="s">
        <v>509</v>
      </c>
      <c r="J332" s="58" t="s">
        <v>514</v>
      </c>
      <c r="K332" s="433">
        <f>IF(I332="mg/L",H332,IF(I332="log-mg/L",10^H332,IF(I332="g/L",H332*1000,IF(I332="ug/L",H332/1000,IF(I332="ng/mL",H332/1000,IF(I332="mol/L",H332*G332*1000,IF(I332="log-mol/L",(10^(H332))*G332*1000)))))))</f>
        <v>945.25</v>
      </c>
      <c r="L332" s="178">
        <f>IF(I332="log-mg/L",H332,LOG(K332))</f>
        <v>2.9755466860345732</v>
      </c>
      <c r="M332" s="433">
        <f>IF(I332="mol/L",H332,(K332/1000)/G332)</f>
        <v>2.5000000000000001E-3</v>
      </c>
      <c r="N332" s="178">
        <f>IF(I332="log-mol/L",H332,LOG(M332))</f>
        <v>-2.6020599913279625</v>
      </c>
      <c r="O332" s="58" t="s">
        <v>33</v>
      </c>
      <c r="P332" s="600" t="s">
        <v>511</v>
      </c>
      <c r="Q332" s="100">
        <f>VLOOKUP(P332,References!$B$7:$F$252,5,FALSE)</f>
        <v>36</v>
      </c>
    </row>
    <row r="333" spans="1:18" ht="17" thickBot="1" x14ac:dyDescent="0.25">
      <c r="A333" s="880"/>
      <c r="B333" s="881"/>
      <c r="C333" s="846"/>
      <c r="D333" s="845"/>
      <c r="E333" s="138" t="s">
        <v>477</v>
      </c>
      <c r="F333" s="138" t="s">
        <v>479</v>
      </c>
      <c r="G333" s="284">
        <v>378.1</v>
      </c>
      <c r="H333" s="324">
        <v>1.14E-3</v>
      </c>
      <c r="I333" s="138" t="s">
        <v>509</v>
      </c>
      <c r="J333" s="138" t="s">
        <v>515</v>
      </c>
      <c r="K333" s="604">
        <f>IF(I333="mg/L",H333,IF(I333="log-mg/L",10^H333,IF(I333="g/L",H333*1000,IF(I333="ug/L",H333/1000,IF(I333="ng/mL",H333/1000,IF(I333="mol/L",H333*G333*1000,IF(I333="log-mol/L",(10^(H333))*G333*1000)))))))</f>
        <v>431.03400000000005</v>
      </c>
      <c r="L333" s="284">
        <f>IF(I333="log-mg/L",H333,LOG(K333))</f>
        <v>2.6345115286990084</v>
      </c>
      <c r="M333" s="604">
        <f>IF(I333="mol/L",H333,(K333/1000)/G333)</f>
        <v>1.14E-3</v>
      </c>
      <c r="N333" s="284">
        <f>IF(I333="log-mol/L",H333,LOG(M333))</f>
        <v>-2.9430951486635273</v>
      </c>
      <c r="O333" s="138">
        <v>25</v>
      </c>
      <c r="P333" s="597" t="s">
        <v>511</v>
      </c>
      <c r="Q333" s="101">
        <f>VLOOKUP(P333,References!$B$7:$F$252,5,FALSE)</f>
        <v>36</v>
      </c>
    </row>
    <row r="334" spans="1:18" s="2" customFormat="1" thickBot="1" x14ac:dyDescent="0.25">
      <c r="A334" s="237" t="s">
        <v>481</v>
      </c>
      <c r="B334" s="129"/>
      <c r="C334" s="82"/>
      <c r="D334" s="79"/>
      <c r="E334" s="79"/>
      <c r="F334" s="79"/>
      <c r="G334" s="79"/>
      <c r="H334" s="79"/>
      <c r="I334" s="128"/>
      <c r="J334" s="79"/>
      <c r="K334" s="79"/>
      <c r="L334" s="79"/>
      <c r="M334" s="128"/>
      <c r="N334" s="79"/>
      <c r="O334" s="79"/>
      <c r="P334" s="79"/>
      <c r="Q334" s="80"/>
      <c r="R334" s="3"/>
    </row>
    <row r="335" spans="1:18" s="2" customFormat="1" ht="18.75" customHeight="1" x14ac:dyDescent="0.2">
      <c r="A335" s="829" t="s">
        <v>482</v>
      </c>
      <c r="B335" s="831" t="s">
        <v>483</v>
      </c>
      <c r="C335" s="866">
        <v>281.10000000000002</v>
      </c>
      <c r="D335" s="831" t="s">
        <v>484</v>
      </c>
      <c r="E335" s="135" t="s">
        <v>546</v>
      </c>
      <c r="F335" s="135" t="s">
        <v>484</v>
      </c>
      <c r="G335" s="135">
        <v>281.10000000000002</v>
      </c>
      <c r="H335" s="334">
        <v>9.6500000000000004E-4</v>
      </c>
      <c r="I335" s="135" t="s">
        <v>509</v>
      </c>
      <c r="J335" s="135" t="s">
        <v>513</v>
      </c>
      <c r="K335" s="603">
        <f t="shared" ref="K335:K338" si="196">IF(I335="mg/L",H335,IF(I335="log-mg/L",10^H335,IF(I335="g/L",H335*1000,IF(I335="ug/L",H335/1000,IF(I335="ng/mL",H335/1000,IF(I335="mol/L",H335*G335*1000,IF(I335="log-mol/L",(10^(H335))*G335*1000)))))))</f>
        <v>271.26150000000007</v>
      </c>
      <c r="L335" s="323">
        <f t="shared" ref="L335:L338" si="197">IF(I335="log-mg/L",H335,LOG(K335))</f>
        <v>2.4333881589512334</v>
      </c>
      <c r="M335" s="603">
        <f t="shared" ref="M335:M338" si="198">IF(I335="mol/L",H335,(K335/1000)/G335)</f>
        <v>9.6500000000000004E-4</v>
      </c>
      <c r="N335" s="323">
        <f t="shared" ref="N335:N338" si="199">IF(I335="log-mol/L",H335,LOG(M335))</f>
        <v>-3.0154726866562074</v>
      </c>
      <c r="O335" s="135" t="s">
        <v>33</v>
      </c>
      <c r="P335" s="708" t="s">
        <v>511</v>
      </c>
      <c r="Q335" s="99">
        <f>VLOOKUP(P335,References!$B$7:$F$252,5,FALSE)</f>
        <v>36</v>
      </c>
      <c r="R335" s="3"/>
    </row>
    <row r="336" spans="1:18" s="2" customFormat="1" ht="18.75" customHeight="1" x14ac:dyDescent="0.2">
      <c r="A336" s="830"/>
      <c r="B336" s="832"/>
      <c r="C336" s="841"/>
      <c r="D336" s="832"/>
      <c r="E336" s="58" t="s">
        <v>546</v>
      </c>
      <c r="F336" s="58" t="s">
        <v>484</v>
      </c>
      <c r="G336" s="58">
        <v>281.10000000000002</v>
      </c>
      <c r="H336" s="354">
        <v>2.3E-2</v>
      </c>
      <c r="I336" s="58" t="s">
        <v>509</v>
      </c>
      <c r="J336" s="58" t="s">
        <v>512</v>
      </c>
      <c r="K336" s="433">
        <f t="shared" si="196"/>
        <v>6465.3</v>
      </c>
      <c r="L336" s="178">
        <f t="shared" si="197"/>
        <v>3.8105886816250334</v>
      </c>
      <c r="M336" s="433">
        <f t="shared" si="198"/>
        <v>2.3E-2</v>
      </c>
      <c r="N336" s="178">
        <f t="shared" si="199"/>
        <v>-1.6382721639824072</v>
      </c>
      <c r="O336" s="58" t="s">
        <v>33</v>
      </c>
      <c r="P336" s="600" t="s">
        <v>511</v>
      </c>
      <c r="Q336" s="100">
        <f>VLOOKUP(P336,References!$B$7:$F$252,5,FALSE)</f>
        <v>36</v>
      </c>
      <c r="R336" s="3"/>
    </row>
    <row r="337" spans="1:18" s="2" customFormat="1" ht="18.75" customHeight="1" x14ac:dyDescent="0.2">
      <c r="A337" s="830"/>
      <c r="B337" s="832"/>
      <c r="C337" s="841"/>
      <c r="D337" s="832"/>
      <c r="E337" s="58" t="s">
        <v>546</v>
      </c>
      <c r="F337" s="58" t="s">
        <v>484</v>
      </c>
      <c r="G337" s="58">
        <v>281.10000000000002</v>
      </c>
      <c r="H337" s="58">
        <v>0.14099999999999999</v>
      </c>
      <c r="I337" s="58" t="s">
        <v>509</v>
      </c>
      <c r="J337" s="58" t="s">
        <v>515</v>
      </c>
      <c r="K337" s="433">
        <f t="shared" si="196"/>
        <v>39635.1</v>
      </c>
      <c r="L337" s="178">
        <f t="shared" si="197"/>
        <v>4.5980799582628205</v>
      </c>
      <c r="M337" s="433">
        <f t="shared" si="198"/>
        <v>0.14099999999999999</v>
      </c>
      <c r="N337" s="178">
        <f t="shared" si="199"/>
        <v>-0.8507808873446201</v>
      </c>
      <c r="O337" s="58">
        <v>25</v>
      </c>
      <c r="P337" s="600" t="s">
        <v>511</v>
      </c>
      <c r="Q337" s="100">
        <f>VLOOKUP(P337,References!$B$7:$F$252,5,FALSE)</f>
        <v>36</v>
      </c>
      <c r="R337" s="3"/>
    </row>
    <row r="338" spans="1:18" s="2" customFormat="1" ht="18.75" customHeight="1" thickBot="1" x14ac:dyDescent="0.25">
      <c r="A338" s="844"/>
      <c r="B338" s="845"/>
      <c r="C338" s="846"/>
      <c r="D338" s="845"/>
      <c r="E338" s="138" t="s">
        <v>546</v>
      </c>
      <c r="F338" s="138" t="s">
        <v>484</v>
      </c>
      <c r="G338" s="138">
        <v>281.10000000000002</v>
      </c>
      <c r="H338" s="138">
        <v>3.56</v>
      </c>
      <c r="I338" s="138" t="s">
        <v>509</v>
      </c>
      <c r="J338" s="138" t="s">
        <v>514</v>
      </c>
      <c r="K338" s="604">
        <f t="shared" si="196"/>
        <v>1000716.0000000001</v>
      </c>
      <c r="L338" s="284">
        <f t="shared" si="197"/>
        <v>6.0003108435803156</v>
      </c>
      <c r="M338" s="604">
        <f t="shared" si="198"/>
        <v>3.56</v>
      </c>
      <c r="N338" s="284">
        <f t="shared" si="199"/>
        <v>0.55144999797287519</v>
      </c>
      <c r="O338" s="138" t="s">
        <v>33</v>
      </c>
      <c r="P338" s="597" t="s">
        <v>511</v>
      </c>
      <c r="Q338" s="101">
        <f>VLOOKUP(P338,References!$B$7:$F$252,5,FALSE)</f>
        <v>36</v>
      </c>
      <c r="R338" s="3"/>
    </row>
    <row r="339" spans="1:18" x14ac:dyDescent="0.2">
      <c r="G339" s="60"/>
      <c r="H339" s="346"/>
      <c r="K339" s="67"/>
    </row>
    <row r="340" spans="1:18" x14ac:dyDescent="0.2">
      <c r="A340" s="66" t="s">
        <v>487</v>
      </c>
    </row>
    <row r="341" spans="1:18" x14ac:dyDescent="0.2">
      <c r="A341" s="11" t="s">
        <v>547</v>
      </c>
    </row>
    <row r="342" spans="1:18" x14ac:dyDescent="0.2">
      <c r="A342" s="2" t="s">
        <v>490</v>
      </c>
    </row>
    <row r="343" spans="1:18" ht="28.25" customHeight="1" x14ac:dyDescent="0.2">
      <c r="A343" s="882" t="s">
        <v>548</v>
      </c>
      <c r="B343" s="882"/>
      <c r="C343" s="882"/>
      <c r="D343" s="882"/>
      <c r="E343" s="882"/>
      <c r="F343" s="882"/>
      <c r="G343" s="882"/>
      <c r="H343" s="882"/>
      <c r="I343" s="882"/>
    </row>
    <row r="344" spans="1:18" s="2" customFormat="1" ht="46.25" customHeight="1" x14ac:dyDescent="0.2">
      <c r="A344" s="864" t="s">
        <v>549</v>
      </c>
      <c r="B344" s="864"/>
      <c r="C344" s="864"/>
      <c r="D344" s="864"/>
      <c r="E344" s="864"/>
      <c r="F344" s="864"/>
      <c r="G344" s="864"/>
      <c r="H344" s="864"/>
      <c r="I344" s="864"/>
      <c r="R344" s="3"/>
    </row>
    <row r="345" spans="1:18" x14ac:dyDescent="0.2">
      <c r="A345" s="2" t="s">
        <v>550</v>
      </c>
      <c r="F345" s="68"/>
      <c r="H345" s="347"/>
      <c r="I345" s="68"/>
    </row>
    <row r="346" spans="1:18" x14ac:dyDescent="0.2">
      <c r="A346" s="66" t="s">
        <v>491</v>
      </c>
      <c r="G346" s="67"/>
    </row>
    <row r="347" spans="1:18" x14ac:dyDescent="0.2">
      <c r="A347" s="66" t="s">
        <v>492</v>
      </c>
      <c r="G347" s="67"/>
    </row>
    <row r="348" spans="1:18" x14ac:dyDescent="0.2">
      <c r="A348" s="66" t="s">
        <v>493</v>
      </c>
      <c r="G348" s="67"/>
    </row>
    <row r="349" spans="1:18" x14ac:dyDescent="0.2">
      <c r="A349" s="66" t="s">
        <v>551</v>
      </c>
    </row>
    <row r="350" spans="1:18" x14ac:dyDescent="0.2">
      <c r="A350" s="11" t="s">
        <v>552</v>
      </c>
    </row>
    <row r="351" spans="1:18" x14ac:dyDescent="0.2">
      <c r="A351" s="66" t="s">
        <v>553</v>
      </c>
    </row>
    <row r="352" spans="1:18" x14ac:dyDescent="0.2">
      <c r="A352" s="66" t="s">
        <v>554</v>
      </c>
    </row>
    <row r="353" spans="1:9" x14ac:dyDescent="0.2">
      <c r="A353" s="66" t="s">
        <v>555</v>
      </c>
    </row>
    <row r="354" spans="1:9" x14ac:dyDescent="0.2">
      <c r="A354" s="66" t="s">
        <v>556</v>
      </c>
    </row>
    <row r="355" spans="1:9" x14ac:dyDescent="0.2">
      <c r="A355" s="66" t="s">
        <v>557</v>
      </c>
      <c r="F355" s="68"/>
      <c r="H355" s="347"/>
      <c r="I355" s="68"/>
    </row>
    <row r="356" spans="1:9" x14ac:dyDescent="0.2">
      <c r="A356" s="66" t="s">
        <v>558</v>
      </c>
      <c r="F356" s="68"/>
      <c r="H356" s="347"/>
      <c r="I356" s="68"/>
    </row>
    <row r="357" spans="1:9" x14ac:dyDescent="0.2">
      <c r="F357" s="68"/>
      <c r="H357" s="347"/>
      <c r="I357" s="68"/>
    </row>
    <row r="358" spans="1:9" x14ac:dyDescent="0.2">
      <c r="F358" s="68"/>
      <c r="H358" s="347"/>
      <c r="I358" s="68"/>
    </row>
    <row r="359" spans="1:9" x14ac:dyDescent="0.2">
      <c r="F359" s="68"/>
      <c r="H359" s="347"/>
      <c r="I359" s="68"/>
    </row>
    <row r="360" spans="1:9" x14ac:dyDescent="0.2">
      <c r="F360" s="68"/>
      <c r="H360" s="347"/>
      <c r="I360" s="68"/>
    </row>
    <row r="361" spans="1:9" x14ac:dyDescent="0.2">
      <c r="A361" s="66"/>
      <c r="F361" s="68"/>
      <c r="H361" s="347"/>
      <c r="I361" s="68"/>
    </row>
    <row r="362" spans="1:9" x14ac:dyDescent="0.2">
      <c r="A362" s="2"/>
      <c r="F362" s="68"/>
      <c r="H362" s="347"/>
      <c r="I362" s="68"/>
    </row>
    <row r="363" spans="1:9" x14ac:dyDescent="0.2">
      <c r="A363" s="2"/>
      <c r="F363" s="68"/>
      <c r="H363" s="347"/>
      <c r="I363" s="68"/>
    </row>
    <row r="364" spans="1:9" x14ac:dyDescent="0.2">
      <c r="A364" s="2"/>
      <c r="F364" s="68"/>
      <c r="H364" s="347"/>
      <c r="I364" s="68"/>
    </row>
    <row r="365" spans="1:9" x14ac:dyDescent="0.2">
      <c r="A365" s="2"/>
      <c r="F365" s="68"/>
      <c r="H365" s="347"/>
      <c r="I365" s="68"/>
    </row>
    <row r="366" spans="1:9" x14ac:dyDescent="0.2">
      <c r="A366" s="2"/>
      <c r="F366" s="68"/>
      <c r="H366" s="347"/>
      <c r="I366" s="68"/>
    </row>
    <row r="367" spans="1:9" x14ac:dyDescent="0.2">
      <c r="A367" s="66"/>
    </row>
    <row r="368" spans="1:9" x14ac:dyDescent="0.2">
      <c r="A368" s="66"/>
    </row>
    <row r="369" spans="1:1" x14ac:dyDescent="0.2">
      <c r="A369" s="66"/>
    </row>
    <row r="370" spans="1:1" x14ac:dyDescent="0.2">
      <c r="A370" s="66"/>
    </row>
    <row r="371" spans="1:1" x14ac:dyDescent="0.2">
      <c r="A371" s="11"/>
    </row>
    <row r="372" spans="1:1" x14ac:dyDescent="0.2">
      <c r="A372" s="66"/>
    </row>
    <row r="373" spans="1:1" x14ac:dyDescent="0.2">
      <c r="A373" s="66"/>
    </row>
    <row r="374" spans="1:1" x14ac:dyDescent="0.2">
      <c r="A374" s="66"/>
    </row>
    <row r="375" spans="1:1" x14ac:dyDescent="0.2">
      <c r="A375" s="66"/>
    </row>
    <row r="376" spans="1:1" x14ac:dyDescent="0.2">
      <c r="A376" s="66"/>
    </row>
    <row r="377" spans="1:1" x14ac:dyDescent="0.2">
      <c r="A377" s="66"/>
    </row>
  </sheetData>
  <sheetProtection algorithmName="SHA-512" hashValue="8yFk8cpHhggkqdBZgM6lbaKgMHXD957rG4il9eVLukVDW9tAbEqIqWgAG5sLZVH5XRN43EYG9Dz113FsRh4p6A==" saltValue="F+U/HTa3CqFI0lZF5aCbfA==" spinCount="100000" sheet="1" objects="1" scenarios="1"/>
  <autoFilter ref="A6:Q333" xr:uid="{EDFD8E05-614F-4FCF-A7C5-28BA81D7267A}">
    <filterColumn colId="10" showButton="0"/>
    <filterColumn colId="11" showButton="0"/>
    <filterColumn colId="12" showButton="0"/>
  </autoFilter>
  <mergeCells count="252">
    <mergeCell ref="A112:A114"/>
    <mergeCell ref="B112:B114"/>
    <mergeCell ref="C112:C114"/>
    <mergeCell ref="D112:D114"/>
    <mergeCell ref="A305:A307"/>
    <mergeCell ref="B305:B307"/>
    <mergeCell ref="C305:C307"/>
    <mergeCell ref="D305:D307"/>
    <mergeCell ref="A9:A13"/>
    <mergeCell ref="B9:B13"/>
    <mergeCell ref="C9:C13"/>
    <mergeCell ref="D9:D13"/>
    <mergeCell ref="A14:A15"/>
    <mergeCell ref="B14:B15"/>
    <mergeCell ref="C14:C15"/>
    <mergeCell ref="D14:D15"/>
    <mergeCell ref="A276:A284"/>
    <mergeCell ref="B276:B284"/>
    <mergeCell ref="C276:C284"/>
    <mergeCell ref="D276:D284"/>
    <mergeCell ref="A285:A295"/>
    <mergeCell ref="B285:B295"/>
    <mergeCell ref="C285:C295"/>
    <mergeCell ref="D285:D295"/>
    <mergeCell ref="A344:I344"/>
    <mergeCell ref="A343:I343"/>
    <mergeCell ref="A324:A325"/>
    <mergeCell ref="B324:B325"/>
    <mergeCell ref="C324:C325"/>
    <mergeCell ref="D324:D325"/>
    <mergeCell ref="A330:A333"/>
    <mergeCell ref="B330:B333"/>
    <mergeCell ref="C330:C333"/>
    <mergeCell ref="D330:D333"/>
    <mergeCell ref="A335:A338"/>
    <mergeCell ref="B335:B338"/>
    <mergeCell ref="C335:C338"/>
    <mergeCell ref="D335:D338"/>
    <mergeCell ref="A322:A323"/>
    <mergeCell ref="B322:B323"/>
    <mergeCell ref="C322:C323"/>
    <mergeCell ref="D322:D323"/>
    <mergeCell ref="A326:A328"/>
    <mergeCell ref="B326:B328"/>
    <mergeCell ref="C326:C328"/>
    <mergeCell ref="D326:D328"/>
    <mergeCell ref="A296:A303"/>
    <mergeCell ref="B296:B303"/>
    <mergeCell ref="C296:C303"/>
    <mergeCell ref="D296:D303"/>
    <mergeCell ref="A308:A310"/>
    <mergeCell ref="B308:B310"/>
    <mergeCell ref="C308:C310"/>
    <mergeCell ref="D308:D310"/>
    <mergeCell ref="D312:D314"/>
    <mergeCell ref="C312:C314"/>
    <mergeCell ref="B312:B314"/>
    <mergeCell ref="A312:A314"/>
    <mergeCell ref="D315:D317"/>
    <mergeCell ref="C315:C317"/>
    <mergeCell ref="B315:B317"/>
    <mergeCell ref="A315:A317"/>
    <mergeCell ref="A218:A223"/>
    <mergeCell ref="B218:B223"/>
    <mergeCell ref="C218:C223"/>
    <mergeCell ref="D218:D223"/>
    <mergeCell ref="A256:A258"/>
    <mergeCell ref="B256:B258"/>
    <mergeCell ref="C256:C258"/>
    <mergeCell ref="D256:D258"/>
    <mergeCell ref="A259:A261"/>
    <mergeCell ref="B259:B261"/>
    <mergeCell ref="C259:C261"/>
    <mergeCell ref="D259:D261"/>
    <mergeCell ref="A238:A245"/>
    <mergeCell ref="B238:B245"/>
    <mergeCell ref="C238:C245"/>
    <mergeCell ref="D238:D245"/>
    <mergeCell ref="A233:A234"/>
    <mergeCell ref="B233:B234"/>
    <mergeCell ref="C233:C234"/>
    <mergeCell ref="D233:D234"/>
    <mergeCell ref="A197:A205"/>
    <mergeCell ref="A206:A209"/>
    <mergeCell ref="B197:B205"/>
    <mergeCell ref="B206:B209"/>
    <mergeCell ref="C197:C205"/>
    <mergeCell ref="C206:C209"/>
    <mergeCell ref="D197:D205"/>
    <mergeCell ref="D206:D209"/>
    <mergeCell ref="A210:A217"/>
    <mergeCell ref="B210:B217"/>
    <mergeCell ref="C210:C217"/>
    <mergeCell ref="D210:D217"/>
    <mergeCell ref="A184:A188"/>
    <mergeCell ref="B184:B188"/>
    <mergeCell ref="C184:C188"/>
    <mergeCell ref="D184:D188"/>
    <mergeCell ref="A189:A192"/>
    <mergeCell ref="B189:B192"/>
    <mergeCell ref="C189:C192"/>
    <mergeCell ref="D189:D192"/>
    <mergeCell ref="B193:B195"/>
    <mergeCell ref="C193:C195"/>
    <mergeCell ref="D193:D195"/>
    <mergeCell ref="A166:A170"/>
    <mergeCell ref="B166:B170"/>
    <mergeCell ref="C166:C170"/>
    <mergeCell ref="D166:D170"/>
    <mergeCell ref="A181:A183"/>
    <mergeCell ref="B181:B183"/>
    <mergeCell ref="C181:C183"/>
    <mergeCell ref="D181:D183"/>
    <mergeCell ref="A152:A155"/>
    <mergeCell ref="B152:B155"/>
    <mergeCell ref="C152:C155"/>
    <mergeCell ref="D152:D155"/>
    <mergeCell ref="A164:A165"/>
    <mergeCell ref="B164:B165"/>
    <mergeCell ref="C164:C165"/>
    <mergeCell ref="D164:D165"/>
    <mergeCell ref="A174:A177"/>
    <mergeCell ref="B174:B177"/>
    <mergeCell ref="C174:C177"/>
    <mergeCell ref="D174:D177"/>
    <mergeCell ref="A156:A157"/>
    <mergeCell ref="B156:B157"/>
    <mergeCell ref="C156:C157"/>
    <mergeCell ref="D156:D157"/>
    <mergeCell ref="A139:A148"/>
    <mergeCell ref="B139:B148"/>
    <mergeCell ref="C139:C148"/>
    <mergeCell ref="D139:D148"/>
    <mergeCell ref="A149:A151"/>
    <mergeCell ref="B149:B151"/>
    <mergeCell ref="C149:C151"/>
    <mergeCell ref="D149:D151"/>
    <mergeCell ref="A125:A134"/>
    <mergeCell ref="B125:B134"/>
    <mergeCell ref="C125:C134"/>
    <mergeCell ref="D125:D134"/>
    <mergeCell ref="A135:A138"/>
    <mergeCell ref="B135:B138"/>
    <mergeCell ref="C135:C138"/>
    <mergeCell ref="D135:D138"/>
    <mergeCell ref="A115:A120"/>
    <mergeCell ref="B115:B120"/>
    <mergeCell ref="C115:C120"/>
    <mergeCell ref="D115:D120"/>
    <mergeCell ref="A121:A124"/>
    <mergeCell ref="B121:B124"/>
    <mergeCell ref="C121:C124"/>
    <mergeCell ref="D121:D124"/>
    <mergeCell ref="A93:A96"/>
    <mergeCell ref="B93:B96"/>
    <mergeCell ref="C93:C96"/>
    <mergeCell ref="D93:D96"/>
    <mergeCell ref="A97:A103"/>
    <mergeCell ref="B97:B103"/>
    <mergeCell ref="C97:C103"/>
    <mergeCell ref="D97:D103"/>
    <mergeCell ref="A105:A108"/>
    <mergeCell ref="B105:B108"/>
    <mergeCell ref="C105:C108"/>
    <mergeCell ref="D105:D108"/>
    <mergeCell ref="A109:A111"/>
    <mergeCell ref="B109:B111"/>
    <mergeCell ref="C109:C111"/>
    <mergeCell ref="D109:D111"/>
    <mergeCell ref="A78:A85"/>
    <mergeCell ref="B78:B85"/>
    <mergeCell ref="C78:C85"/>
    <mergeCell ref="D78:D85"/>
    <mergeCell ref="A86:A92"/>
    <mergeCell ref="B86:B92"/>
    <mergeCell ref="C86:C92"/>
    <mergeCell ref="D86:D92"/>
    <mergeCell ref="A61:A67"/>
    <mergeCell ref="B61:B67"/>
    <mergeCell ref="C61:C67"/>
    <mergeCell ref="D61:D67"/>
    <mergeCell ref="A68:A77"/>
    <mergeCell ref="B68:B77"/>
    <mergeCell ref="C68:C77"/>
    <mergeCell ref="D68:D77"/>
    <mergeCell ref="B16:B22"/>
    <mergeCell ref="C16:C22"/>
    <mergeCell ref="D16:D22"/>
    <mergeCell ref="A37:A45"/>
    <mergeCell ref="B37:B45"/>
    <mergeCell ref="C37:C45"/>
    <mergeCell ref="D37:D45"/>
    <mergeCell ref="A46:A60"/>
    <mergeCell ref="B46:B60"/>
    <mergeCell ref="C46:C60"/>
    <mergeCell ref="D46:D60"/>
    <mergeCell ref="A23:A29"/>
    <mergeCell ref="B23:B29"/>
    <mergeCell ref="C23:C29"/>
    <mergeCell ref="D23:D29"/>
    <mergeCell ref="A30:A36"/>
    <mergeCell ref="B30:B36"/>
    <mergeCell ref="C30:C36"/>
    <mergeCell ref="D30:D36"/>
    <mergeCell ref="A262:A265"/>
    <mergeCell ref="B262:B265"/>
    <mergeCell ref="C262:C265"/>
    <mergeCell ref="D262:D265"/>
    <mergeCell ref="A267:A275"/>
    <mergeCell ref="B267:B275"/>
    <mergeCell ref="C267:C275"/>
    <mergeCell ref="D267:D275"/>
    <mergeCell ref="A2:Q2"/>
    <mergeCell ref="A6:A7"/>
    <mergeCell ref="B6:B7"/>
    <mergeCell ref="C6:C7"/>
    <mergeCell ref="D6:D7"/>
    <mergeCell ref="E6:E7"/>
    <mergeCell ref="F6:F7"/>
    <mergeCell ref="G6:G7"/>
    <mergeCell ref="H6:H7"/>
    <mergeCell ref="I6:I7"/>
    <mergeCell ref="J6:J7"/>
    <mergeCell ref="K6:N6"/>
    <mergeCell ref="O6:O7"/>
    <mergeCell ref="P6:P7"/>
    <mergeCell ref="Q6:Q7"/>
    <mergeCell ref="A16:A22"/>
    <mergeCell ref="A160:A162"/>
    <mergeCell ref="B160:B162"/>
    <mergeCell ref="C160:C162"/>
    <mergeCell ref="D160:D162"/>
    <mergeCell ref="A171:A173"/>
    <mergeCell ref="B171:B173"/>
    <mergeCell ref="C171:C173"/>
    <mergeCell ref="D171:D173"/>
    <mergeCell ref="A318:A320"/>
    <mergeCell ref="B318:B320"/>
    <mergeCell ref="C318:C320"/>
    <mergeCell ref="D318:D320"/>
    <mergeCell ref="A224:A229"/>
    <mergeCell ref="B224:B229"/>
    <mergeCell ref="C224:C229"/>
    <mergeCell ref="D224:D229"/>
    <mergeCell ref="A235:A237"/>
    <mergeCell ref="B235:B237"/>
    <mergeCell ref="C235:C237"/>
    <mergeCell ref="D235:D237"/>
    <mergeCell ref="A246:A254"/>
    <mergeCell ref="B246:B254"/>
    <mergeCell ref="C246:C254"/>
    <mergeCell ref="D246:D254"/>
  </mergeCells>
  <phoneticPr fontId="60" type="noConversion"/>
  <conditionalFormatting sqref="K16:K333 M16:M333">
    <cfRule type="cellIs" dxfId="284" priority="23" operator="between">
      <formula>0.01</formula>
      <formula>1</formula>
    </cfRule>
    <cfRule type="cellIs" dxfId="283" priority="24" operator="between">
      <formula>1</formula>
      <formula>10</formula>
    </cfRule>
    <cfRule type="cellIs" dxfId="282" priority="25" operator="between">
      <formula>10</formula>
      <formula>100000</formula>
    </cfRule>
    <cfRule type="cellIs" dxfId="281" priority="26" operator="greaterThanOrEqual">
      <formula>100000</formula>
    </cfRule>
    <cfRule type="cellIs" dxfId="280" priority="27" operator="lessThanOrEqual">
      <formula>0.01</formula>
    </cfRule>
  </conditionalFormatting>
  <conditionalFormatting sqref="K335:K338 M335:M338">
    <cfRule type="cellIs" dxfId="279" priority="2" operator="between">
      <formula>0.01</formula>
      <formula>1</formula>
    </cfRule>
    <cfRule type="cellIs" dxfId="278" priority="3" operator="between">
      <formula>1</formula>
      <formula>10</formula>
    </cfRule>
    <cfRule type="cellIs" dxfId="277" priority="4" operator="between">
      <formula>10</formula>
      <formula>100000</formula>
    </cfRule>
    <cfRule type="cellIs" dxfId="276" priority="5" operator="greaterThanOrEqual">
      <formula>100000</formula>
    </cfRule>
    <cfRule type="cellIs" dxfId="275" priority="6" operator="lessThanOrEqual">
      <formula>0.01</formula>
    </cfRule>
  </conditionalFormatting>
  <pageMargins left="0.7" right="0.7" top="0.75" bottom="0.75" header="0.3" footer="0.3"/>
  <pageSetup paperSize="5" scale="20" orientation="portrait" horizontalDpi="4294967293" verticalDpi="200" r:id="rId1"/>
  <extLst>
    <ext xmlns:x14="http://schemas.microsoft.com/office/spreadsheetml/2009/9/main" uri="{78C0D931-6437-407d-A8EE-F0AAD7539E65}">
      <x14:conditionalFormattings>
        <x14:conditionalFormatting xmlns:xm="http://schemas.microsoft.com/office/excel/2006/main">
          <x14:cfRule type="expression" priority="15" id="{80377E08-9A63-414F-A2D7-3789D860E1EC}">
            <xm:f>(VLOOKUP(I9,References!$B$8:$C$252,2,FALSE)="Secondary")</xm:f>
            <x14:dxf>
              <font>
                <strike val="0"/>
              </font>
              <fill>
                <patternFill>
                  <bgColor rgb="FFFFC000"/>
                </patternFill>
              </fill>
            </x14:dxf>
          </x14:cfRule>
          <xm:sqref>Q9:Q103 Q181:Q195 Q197:Q231 Q267:Q303 J311 Q330:Q333</xm:sqref>
        </x14:conditionalFormatting>
        <x14:conditionalFormatting xmlns:xm="http://schemas.microsoft.com/office/excel/2006/main">
          <x14:cfRule type="expression" priority="10" id="{F37E28F4-D227-4297-8CF7-9095731E50E6}">
            <xm:f>(VLOOKUP(P105,References!$B$8:$C$252,2,FALSE)="Secondary")</xm:f>
            <x14:dxf>
              <font>
                <strike val="0"/>
              </font>
              <fill>
                <patternFill>
                  <bgColor rgb="FFFFC000"/>
                </patternFill>
              </fill>
            </x14:dxf>
          </x14:cfRule>
          <xm:sqref>Q105:Q157</xm:sqref>
        </x14:conditionalFormatting>
        <x14:conditionalFormatting xmlns:xm="http://schemas.microsoft.com/office/excel/2006/main">
          <x14:cfRule type="expression" priority="38" id="{5B280E1A-D455-485B-ACA2-A1B364E058AA}">
            <xm:f>(VLOOKUP(P159,References!$B$8:$C$252,2,FALSE)="Secondary")</xm:f>
            <x14:dxf>
              <font>
                <strike val="0"/>
              </font>
              <fill>
                <patternFill>
                  <bgColor rgb="FFFFC000"/>
                </patternFill>
              </fill>
            </x14:dxf>
          </x14:cfRule>
          <xm:sqref>Q159:Q179</xm:sqref>
        </x14:conditionalFormatting>
        <x14:conditionalFormatting xmlns:xm="http://schemas.microsoft.com/office/excel/2006/main">
          <x14:cfRule type="expression" priority="1" id="{17BA386D-E276-4A53-8626-713FE4A6A852}">
            <xm:f>(VLOOKUP(P233,References!$B$8:$C$252,2,FALSE)="Secondary")</xm:f>
            <x14:dxf>
              <font>
                <strike val="0"/>
              </font>
              <fill>
                <patternFill>
                  <bgColor rgb="FFFFC000"/>
                </patternFill>
              </fill>
            </x14:dxf>
          </x14:cfRule>
          <xm:sqref>Q233:Q254</xm:sqref>
        </x14:conditionalFormatting>
        <x14:conditionalFormatting xmlns:xm="http://schemas.microsoft.com/office/excel/2006/main">
          <x14:cfRule type="expression" priority="43" id="{FA54FCF4-4E8E-4166-891E-7AD2F14EBF2E}">
            <xm:f>(VLOOKUP(P256,References!$B$8:$C$252,2,FALSE)="Secondary")</xm:f>
            <x14:dxf>
              <font>
                <strike val="0"/>
              </font>
              <fill>
                <patternFill>
                  <bgColor rgb="FFFFC000"/>
                </patternFill>
              </fill>
            </x14:dxf>
          </x14:cfRule>
          <xm:sqref>Q256:Q265</xm:sqref>
        </x14:conditionalFormatting>
        <x14:conditionalFormatting xmlns:xm="http://schemas.microsoft.com/office/excel/2006/main">
          <x14:cfRule type="expression" priority="13" id="{1FC37840-E507-4771-8385-12ED4CA86A97}">
            <xm:f>(VLOOKUP(P305,References!$B$8:$C$252,2,FALSE)="Secondary")</xm:f>
            <x14:dxf>
              <font>
                <strike val="0"/>
              </font>
              <fill>
                <patternFill>
                  <bgColor rgb="FFFFC000"/>
                </patternFill>
              </fill>
            </x14:dxf>
          </x14:cfRule>
          <xm:sqref>Q305:Q320</xm:sqref>
        </x14:conditionalFormatting>
        <x14:conditionalFormatting xmlns:xm="http://schemas.microsoft.com/office/excel/2006/main">
          <x14:cfRule type="expression" priority="34" id="{118BAAFA-BF06-4709-BEA7-25ABB063E6F1}">
            <xm:f>(VLOOKUP(P322,References!$B$8:$C$252,2,FALSE)="Secondary")</xm:f>
            <x14:dxf>
              <font>
                <strike val="0"/>
              </font>
              <fill>
                <patternFill>
                  <bgColor rgb="FFFFC000"/>
                </patternFill>
              </fill>
            </x14:dxf>
          </x14:cfRule>
          <xm:sqref>Q322:Q328</xm:sqref>
        </x14:conditionalFormatting>
        <x14:conditionalFormatting xmlns:xm="http://schemas.microsoft.com/office/excel/2006/main">
          <x14:cfRule type="expression" priority="7" id="{E69838DE-C0F4-4485-88C4-1BB73B5B5500}">
            <xm:f>(VLOOKUP(P335,References!$B$8:$C$252,2,FALSE)="Secondary")</xm:f>
            <x14:dxf>
              <font>
                <strike val="0"/>
              </font>
              <fill>
                <patternFill>
                  <bgColor rgb="FFFFC000"/>
                </patternFill>
              </fill>
            </x14:dxf>
          </x14:cfRule>
          <xm:sqref>Q335:Q338</xm:sqref>
        </x14:conditionalFormatting>
        <x14:conditionalFormatting xmlns:xm="http://schemas.microsoft.com/office/excel/2006/main">
          <x14:cfRule type="expression" priority="181" id="{2BAE1616-1B98-435E-A4E1-E8F828608916}">
            <xm:f>(VLOOKUP(Q311,References!$B$8:$C$252,2,FALSE)="Secondary")</xm:f>
            <x14:dxf>
              <font>
                <strike val="0"/>
              </font>
              <fill>
                <patternFill>
                  <bgColor rgb="FFFFC000"/>
                </patternFill>
              </fill>
            </x14:dxf>
          </x14:cfRule>
          <xm:sqref>R311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E9937-52E6-41F9-9EEE-705EF7551CE9}">
  <sheetPr codeName="Sheet3">
    <tabColor rgb="FF92D050"/>
  </sheetPr>
  <dimension ref="A1:S443"/>
  <sheetViews>
    <sheetView zoomScale="110" zoomScaleNormal="110" workbookViewId="0">
      <pane ySplit="7" topLeftCell="A8" activePane="bottomLeft" state="frozen"/>
      <selection pane="bottomLeft" activeCell="A3" sqref="A3"/>
    </sheetView>
  </sheetViews>
  <sheetFormatPr baseColWidth="10" defaultColWidth="13.1640625" defaultRowHeight="16" x14ac:dyDescent="0.2"/>
  <cols>
    <col min="1" max="1" width="48.1640625" customWidth="1"/>
    <col min="3" max="3" width="15.6640625" customWidth="1"/>
    <col min="4" max="4" width="13.1640625" customWidth="1"/>
    <col min="5" max="6" width="13.1640625" hidden="1" customWidth="1"/>
    <col min="7" max="7" width="11.6640625" style="62" bestFit="1" customWidth="1"/>
    <col min="8" max="8" width="12.5" style="62" bestFit="1" customWidth="1"/>
    <col min="9" max="9" width="5.6640625" style="62" bestFit="1" customWidth="1"/>
    <col min="10" max="12" width="11.6640625" style="62" customWidth="1"/>
    <col min="13" max="13" width="11.6640625" style="62" bestFit="1" customWidth="1"/>
    <col min="14" max="14" width="28.5" style="63" hidden="1" customWidth="1"/>
    <col min="15" max="15" width="13.5" bestFit="1" customWidth="1"/>
    <col min="19" max="19" width="12.5" style="62" bestFit="1" customWidth="1"/>
  </cols>
  <sheetData>
    <row r="1" spans="1:19" ht="21" x14ac:dyDescent="0.25">
      <c r="A1" s="4" t="s">
        <v>6</v>
      </c>
      <c r="B1" s="5"/>
      <c r="C1" s="6"/>
      <c r="D1" s="6"/>
      <c r="E1" s="6"/>
      <c r="F1" s="6"/>
      <c r="G1" s="5"/>
      <c r="H1" s="5"/>
      <c r="I1" s="5"/>
      <c r="J1" s="5"/>
      <c r="K1" s="5"/>
      <c r="L1" s="5"/>
      <c r="M1" s="5"/>
      <c r="N1" s="8"/>
      <c r="S1" s="5"/>
    </row>
    <row r="2" spans="1:19" ht="34.5" customHeight="1" x14ac:dyDescent="0.25">
      <c r="A2" s="855" t="s">
        <v>559</v>
      </c>
      <c r="B2" s="855"/>
      <c r="C2" s="855"/>
      <c r="D2" s="855"/>
      <c r="E2" s="855"/>
      <c r="F2" s="855"/>
      <c r="G2" s="855"/>
      <c r="H2" s="855"/>
      <c r="I2" s="855"/>
      <c r="J2" s="855"/>
      <c r="K2" s="855"/>
      <c r="L2" s="855"/>
      <c r="M2" s="855"/>
      <c r="N2" s="855"/>
      <c r="O2" s="855"/>
      <c r="S2" s="61"/>
    </row>
    <row r="3" spans="1:19" x14ac:dyDescent="0.2">
      <c r="A3" s="13"/>
      <c r="B3" s="2"/>
      <c r="C3" s="2"/>
      <c r="D3" s="2"/>
      <c r="E3" s="2"/>
      <c r="F3" s="2"/>
      <c r="G3" s="3"/>
      <c r="H3" s="3"/>
      <c r="I3" s="3"/>
      <c r="J3" s="3"/>
      <c r="K3" s="3"/>
      <c r="L3" s="3"/>
      <c r="M3" s="3"/>
      <c r="N3" s="10"/>
      <c r="R3" s="250"/>
    </row>
    <row r="4" spans="1:19" x14ac:dyDescent="0.2">
      <c r="A4" s="13"/>
      <c r="B4" s="2"/>
      <c r="C4" s="2"/>
      <c r="D4" s="2"/>
      <c r="E4" s="2"/>
      <c r="F4" s="2"/>
      <c r="G4" s="3"/>
      <c r="H4" s="3"/>
      <c r="I4" s="3"/>
      <c r="J4" s="3"/>
      <c r="K4" s="3"/>
      <c r="L4" s="3"/>
      <c r="M4" s="3"/>
      <c r="N4" s="10"/>
      <c r="R4" s="268"/>
    </row>
    <row r="5" spans="1:19" ht="20" thickBot="1" x14ac:dyDescent="0.3">
      <c r="A5" s="113" t="s">
        <v>560</v>
      </c>
      <c r="R5" s="269"/>
    </row>
    <row r="6" spans="1:19" s="70" customFormat="1" ht="18.75" customHeight="1" x14ac:dyDescent="0.25">
      <c r="A6" s="890" t="s">
        <v>9</v>
      </c>
      <c r="B6" s="872" t="s">
        <v>10</v>
      </c>
      <c r="C6" s="872" t="s">
        <v>497</v>
      </c>
      <c r="D6" s="872" t="s">
        <v>13</v>
      </c>
      <c r="E6" s="872" t="s">
        <v>10</v>
      </c>
      <c r="F6" s="872" t="s">
        <v>13</v>
      </c>
      <c r="G6" s="872" t="s">
        <v>561</v>
      </c>
      <c r="H6" s="872" t="s">
        <v>502</v>
      </c>
      <c r="I6" s="872" t="s">
        <v>492</v>
      </c>
      <c r="J6" s="876" t="s">
        <v>503</v>
      </c>
      <c r="K6" s="876"/>
      <c r="L6" s="876"/>
      <c r="M6" s="872" t="s">
        <v>504</v>
      </c>
      <c r="N6" s="872" t="s">
        <v>505</v>
      </c>
      <c r="O6" s="877" t="s">
        <v>506</v>
      </c>
      <c r="S6" s="71"/>
    </row>
    <row r="7" spans="1:19" s="70" customFormat="1" ht="21" thickBot="1" x14ac:dyDescent="0.3">
      <c r="A7" s="891"/>
      <c r="B7" s="873"/>
      <c r="C7" s="873"/>
      <c r="D7" s="873"/>
      <c r="E7" s="873"/>
      <c r="F7" s="873"/>
      <c r="G7" s="873"/>
      <c r="H7" s="873"/>
      <c r="I7" s="873"/>
      <c r="J7" s="283" t="s">
        <v>562</v>
      </c>
      <c r="K7" s="283" t="s">
        <v>563</v>
      </c>
      <c r="L7" s="283" t="s">
        <v>564</v>
      </c>
      <c r="M7" s="873"/>
      <c r="N7" s="873"/>
      <c r="O7" s="878"/>
      <c r="S7" s="71"/>
    </row>
    <row r="8" spans="1:19" s="72" customFormat="1" ht="17" thickBot="1" x14ac:dyDescent="0.25">
      <c r="A8" s="65" t="s">
        <v>22</v>
      </c>
      <c r="B8" s="127" t="s">
        <v>23</v>
      </c>
      <c r="C8" s="125"/>
      <c r="D8" s="125"/>
      <c r="E8" s="125"/>
      <c r="F8" s="125"/>
      <c r="G8" s="125"/>
      <c r="H8" s="125"/>
      <c r="I8" s="125"/>
      <c r="J8" s="125"/>
      <c r="K8" s="125"/>
      <c r="L8" s="125"/>
      <c r="M8" s="125"/>
      <c r="N8" s="125"/>
      <c r="O8" s="126"/>
      <c r="P8" s="532"/>
      <c r="Q8" s="532"/>
      <c r="R8" s="532"/>
      <c r="S8" s="532"/>
    </row>
    <row r="9" spans="1:19" x14ac:dyDescent="0.2">
      <c r="A9" s="884" t="s">
        <v>24</v>
      </c>
      <c r="B9" s="886" t="s">
        <v>25</v>
      </c>
      <c r="C9" s="886">
        <v>114.02</v>
      </c>
      <c r="D9" s="886" t="s">
        <v>26</v>
      </c>
      <c r="E9" s="615" t="s">
        <v>25</v>
      </c>
      <c r="F9" s="615" t="s">
        <v>26</v>
      </c>
      <c r="G9" s="615">
        <v>40.799999999999997</v>
      </c>
      <c r="H9" s="615" t="s">
        <v>564</v>
      </c>
      <c r="I9" s="615" t="s">
        <v>512</v>
      </c>
      <c r="J9" s="726">
        <f>IF(H9="Pa",G9,IF(H9="kPa",G9*1000,IF(H9="log-Pa",10^G9,IF(H9="mm Hg",G9*133.322,0))))</f>
        <v>5439.5375999999997</v>
      </c>
      <c r="K9" s="672">
        <f>IF(H9="Pa",LOG(G9),IF(H9="kPa",LOG(G9*1000),IF(H9="log-Pa",G9,IF(H9="mm Hg",LOG(G9*133.322),0))))</f>
        <v>3.7355619830982403</v>
      </c>
      <c r="L9" s="615">
        <f>IF(H9="Pa",G9/133.322,IF(H9="kPa",(G9*1000)/133.322,IF(H9="log-Pa",(10^G9)/133.322,IF(H9="mm Hg",G9,0))))</f>
        <v>40.799999999999997</v>
      </c>
      <c r="M9" s="615" t="s">
        <v>33</v>
      </c>
      <c r="N9" s="27" t="s">
        <v>511</v>
      </c>
      <c r="O9" s="100">
        <f>VLOOKUP(N9,References!$B$7:$F$252,5,FALSE)</f>
        <v>36</v>
      </c>
      <c r="P9" s="66"/>
      <c r="Q9" s="66"/>
      <c r="R9" s="12"/>
      <c r="S9"/>
    </row>
    <row r="10" spans="1:19" x14ac:dyDescent="0.2">
      <c r="A10" s="884"/>
      <c r="B10" s="886"/>
      <c r="C10" s="886"/>
      <c r="D10" s="886"/>
      <c r="E10" s="615" t="s">
        <v>25</v>
      </c>
      <c r="F10" s="615" t="s">
        <v>26</v>
      </c>
      <c r="G10" s="615">
        <v>96.2</v>
      </c>
      <c r="H10" s="615" t="s">
        <v>564</v>
      </c>
      <c r="I10" s="615" t="s">
        <v>514</v>
      </c>
      <c r="J10" s="726">
        <f t="shared" ref="J10:J13" si="0">IF(H10="Pa",G10,IF(H10="kPa",G10*1000,IF(H10="log-Pa",10^G10,IF(H10="mm Hg",G10*133.322,0))))</f>
        <v>12825.5764</v>
      </c>
      <c r="K10" s="672">
        <f t="shared" ref="K10:K13" si="1">IF(H10="Pa",LOG(G10),IF(H10="kPa",LOG(G10*1000),IF(H10="log-Pa",G10,IF(H10="mm Hg",LOG(G10*133.322),0))))</f>
        <v>4.1080768920461734</v>
      </c>
      <c r="L10" s="615">
        <f t="shared" ref="L10:L13" si="2">IF(H10="Pa",G10/133.322,IF(H10="kPa",(G10*1000)/133.322,IF(H10="log-Pa",(10^G10)/133.322,IF(H10="mm Hg",G10,0))))</f>
        <v>96.2</v>
      </c>
      <c r="M10" s="615" t="s">
        <v>33</v>
      </c>
      <c r="N10" s="27" t="s">
        <v>511</v>
      </c>
      <c r="O10" s="100">
        <f>VLOOKUP(N10,References!$B$7:$F$252,5,FALSE)</f>
        <v>36</v>
      </c>
      <c r="P10" s="66"/>
      <c r="Q10" s="66"/>
      <c r="S10"/>
    </row>
    <row r="11" spans="1:19" x14ac:dyDescent="0.2">
      <c r="A11" s="884"/>
      <c r="B11" s="886"/>
      <c r="C11" s="886"/>
      <c r="D11" s="886"/>
      <c r="E11" s="615" t="s">
        <v>25</v>
      </c>
      <c r="F11" s="615" t="s">
        <v>26</v>
      </c>
      <c r="G11" s="615">
        <v>186</v>
      </c>
      <c r="H11" s="615" t="s">
        <v>564</v>
      </c>
      <c r="I11" s="615" t="s">
        <v>515</v>
      </c>
      <c r="J11" s="726">
        <f t="shared" ref="J11" si="3">IF(H11="Pa",G11,IF(H11="kPa",G11*1000,IF(H11="log-Pa",10^G11,IF(H11="mm Hg",G11*133.322,0))))</f>
        <v>24797.892</v>
      </c>
      <c r="K11" s="672">
        <f t="shared" ref="K11" si="4">IF(H11="Pa",LOG(G11),IF(H11="kPa",LOG(G11*1000),IF(H11="log-Pa",G11,IF(H11="mm Hg",LOG(G11*133.322),0))))</f>
        <v>4.3944147642262772</v>
      </c>
      <c r="L11" s="615">
        <f t="shared" ref="L11" si="5">IF(H11="Pa",G11/133.322,IF(H11="kPa",(G11*1000)/133.322,IF(H11="log-Pa",(10^G11)/133.322,IF(H11="mm Hg",G11,0))))</f>
        <v>186</v>
      </c>
      <c r="M11" s="615" t="s">
        <v>33</v>
      </c>
      <c r="N11" s="27" t="s">
        <v>511</v>
      </c>
      <c r="O11" s="100">
        <f>VLOOKUP(N11,References!$B$7:$F$252,5,FALSE)</f>
        <v>36</v>
      </c>
      <c r="P11" s="66"/>
      <c r="Q11" s="66"/>
      <c r="S11"/>
    </row>
    <row r="12" spans="1:19" x14ac:dyDescent="0.2">
      <c r="A12" s="884"/>
      <c r="B12" s="886"/>
      <c r="C12" s="886"/>
      <c r="D12" s="886"/>
      <c r="E12" s="615" t="s">
        <v>25</v>
      </c>
      <c r="F12" s="615" t="s">
        <v>26</v>
      </c>
      <c r="G12" s="615">
        <v>191</v>
      </c>
      <c r="H12" s="615" t="s">
        <v>564</v>
      </c>
      <c r="I12" s="615" t="s">
        <v>27</v>
      </c>
      <c r="J12" s="726">
        <f t="shared" ref="J12" si="6">IF(H12="Pa",G12,IF(H12="kPa",G12*1000,IF(H12="log-Pa",10^G12,IF(H12="mm Hg",G12*133.322,0))))</f>
        <v>25464.502</v>
      </c>
      <c r="K12" s="672">
        <f t="shared" ref="K12" si="7">IF(H12="Pa",LOG(G12),IF(H12="kPa",LOG(G12*1000),IF(H12="log-Pa",G12,IF(H12="mm Hg",LOG(G12*133.322),0))))</f>
        <v>4.4059351872560883</v>
      </c>
      <c r="L12" s="615">
        <f t="shared" ref="L12" si="8">IF(H12="Pa",G12/133.322,IF(H12="kPa",(G12*1000)/133.322,IF(H12="log-Pa",(10^G12)/133.322,IF(H12="mm Hg",G12,0))))</f>
        <v>191</v>
      </c>
      <c r="M12" s="615">
        <v>37</v>
      </c>
      <c r="N12" s="27" t="s">
        <v>28</v>
      </c>
      <c r="O12" s="100">
        <f>VLOOKUP(N12,References!$B$7:$F$252,5,FALSE)</f>
        <v>60</v>
      </c>
      <c r="P12" s="66"/>
      <c r="Q12" s="66"/>
      <c r="S12"/>
    </row>
    <row r="13" spans="1:19" x14ac:dyDescent="0.2">
      <c r="A13" s="885"/>
      <c r="B13" s="887"/>
      <c r="C13" s="887"/>
      <c r="D13" s="887"/>
      <c r="E13" s="419" t="s">
        <v>25</v>
      </c>
      <c r="F13" s="419" t="s">
        <v>26</v>
      </c>
      <c r="G13" s="419">
        <v>11</v>
      </c>
      <c r="H13" s="419" t="s">
        <v>565</v>
      </c>
      <c r="I13" s="419" t="s">
        <v>33</v>
      </c>
      <c r="J13" s="727">
        <f t="shared" si="0"/>
        <v>11000</v>
      </c>
      <c r="K13" s="676">
        <f t="shared" si="1"/>
        <v>4.0413926851582254</v>
      </c>
      <c r="L13" s="676">
        <f t="shared" si="2"/>
        <v>82.50701309611317</v>
      </c>
      <c r="M13" s="419">
        <v>20</v>
      </c>
      <c r="N13" s="621" t="s">
        <v>566</v>
      </c>
      <c r="O13" s="122">
        <f>VLOOKUP(N13,References!$B$7:$F$252,5,FALSE)</f>
        <v>116</v>
      </c>
      <c r="P13" s="66"/>
      <c r="Q13" s="66"/>
      <c r="S13"/>
    </row>
    <row r="14" spans="1:19" x14ac:dyDescent="0.2">
      <c r="A14" s="888" t="s">
        <v>516</v>
      </c>
      <c r="B14" s="889" t="s">
        <v>38</v>
      </c>
      <c r="C14" s="889">
        <v>163.02000000000001</v>
      </c>
      <c r="D14" s="889" t="s">
        <v>39</v>
      </c>
      <c r="E14" s="476" t="s">
        <v>38</v>
      </c>
      <c r="F14" s="476" t="s">
        <v>517</v>
      </c>
      <c r="G14" s="476">
        <v>10.199999999999999</v>
      </c>
      <c r="H14" s="476" t="s">
        <v>564</v>
      </c>
      <c r="I14" s="476" t="s">
        <v>515</v>
      </c>
      <c r="J14" s="728">
        <f t="shared" ref="J14:J15" si="9">IF(H14="Pa",G14,IF(H14="kPa",G14*1000,IF(H14="log-Pa",10^G14,IF(H14="mm Hg",G14*133.322,0))))</f>
        <v>1359.8843999999999</v>
      </c>
      <c r="K14" s="680">
        <f t="shared" ref="K14:K15" si="10">IF(H14="Pa",LOG(G14),IF(H14="kPa",LOG(G14*1000),IF(H14="log-Pa",G14,IF(H14="mm Hg",LOG(G14*133.322),0))))</f>
        <v>3.1335019917702778</v>
      </c>
      <c r="L14" s="476">
        <f t="shared" ref="L14:L15" si="11">IF(H14="Pa",G14/133.322,IF(H14="kPa",(G14*1000)/133.322,IF(H14="log-Pa",(10^G14)/133.322,IF(H14="mm Hg",G14,0))))</f>
        <v>10.199999999999999</v>
      </c>
      <c r="M14" s="476" t="s">
        <v>33</v>
      </c>
      <c r="N14" s="729" t="s">
        <v>511</v>
      </c>
      <c r="O14" s="121">
        <f>VLOOKUP(N14,References!$B$7:$F$252,5,FALSE)</f>
        <v>36</v>
      </c>
      <c r="P14" s="66"/>
      <c r="Q14" s="66"/>
      <c r="S14"/>
    </row>
    <row r="15" spans="1:19" x14ac:dyDescent="0.2">
      <c r="A15" s="885"/>
      <c r="B15" s="887"/>
      <c r="C15" s="887"/>
      <c r="D15" s="887"/>
      <c r="E15" s="419" t="s">
        <v>38</v>
      </c>
      <c r="F15" s="419" t="s">
        <v>517</v>
      </c>
      <c r="G15" s="419">
        <v>35.799999999999997</v>
      </c>
      <c r="H15" s="419" t="s">
        <v>564</v>
      </c>
      <c r="I15" s="419" t="s">
        <v>514</v>
      </c>
      <c r="J15" s="727">
        <f t="shared" si="9"/>
        <v>4772.9276</v>
      </c>
      <c r="K15" s="676">
        <f t="shared" si="10"/>
        <v>3.6787848466522348</v>
      </c>
      <c r="L15" s="419">
        <f t="shared" si="11"/>
        <v>35.799999999999997</v>
      </c>
      <c r="M15" s="419" t="s">
        <v>33</v>
      </c>
      <c r="N15" s="621" t="s">
        <v>511</v>
      </c>
      <c r="O15" s="122">
        <f>VLOOKUP(N15,References!$B$7:$F$252,5,FALSE)</f>
        <v>36</v>
      </c>
      <c r="P15" s="66"/>
      <c r="Q15" s="66"/>
      <c r="S15"/>
    </row>
    <row r="16" spans="1:19" x14ac:dyDescent="0.2">
      <c r="A16" s="868" t="s">
        <v>41</v>
      </c>
      <c r="B16" s="869" t="s">
        <v>42</v>
      </c>
      <c r="C16" s="841">
        <v>214</v>
      </c>
      <c r="D16" s="832" t="s">
        <v>43</v>
      </c>
      <c r="E16" s="149" t="s">
        <v>42</v>
      </c>
      <c r="F16" s="145" t="s">
        <v>43</v>
      </c>
      <c r="G16" s="58">
        <v>1.26</v>
      </c>
      <c r="H16" s="58" t="s">
        <v>565</v>
      </c>
      <c r="I16" s="58" t="s">
        <v>27</v>
      </c>
      <c r="J16" s="433">
        <f>IF(H16="Pa",G16,IF(H16="kPa",G16*1000,IF(H16="log-Pa",10^G16,IF(H16="mm Hg",G16*133.322,0))))</f>
        <v>1260</v>
      </c>
      <c r="K16" s="433">
        <f>IF(H16="Pa",LOG(G16),IF(H16="kPa",LOG(G16*1000),IF(H16="log-Pa",G16,IF(H16="mm Hg",LOG(G16*133.322),0))))</f>
        <v>3.1003705451175629</v>
      </c>
      <c r="L16" s="433">
        <f>IF(H16="Pa",G16/133.322,IF(H16="kPa",(G16*1000)/133.322,IF(H16="log-Pa",(10^G16)/133.322,IF(H16="mm Hg",G16,0))))</f>
        <v>9.4508033182820537</v>
      </c>
      <c r="M16" s="433">
        <v>25</v>
      </c>
      <c r="N16" s="30" t="s">
        <v>567</v>
      </c>
      <c r="O16" s="100">
        <f>VLOOKUP(N16,References!$B$7:$F$252,5,FALSE)</f>
        <v>68</v>
      </c>
      <c r="S16"/>
    </row>
    <row r="17" spans="1:19" x14ac:dyDescent="0.2">
      <c r="A17" s="868"/>
      <c r="B17" s="869"/>
      <c r="C17" s="841"/>
      <c r="D17" s="832"/>
      <c r="E17" s="149" t="s">
        <v>42</v>
      </c>
      <c r="F17" s="145" t="s">
        <v>43</v>
      </c>
      <c r="G17" s="58">
        <v>2.0005999999999999</v>
      </c>
      <c r="H17" s="58" t="s">
        <v>565</v>
      </c>
      <c r="I17" s="58" t="s">
        <v>27</v>
      </c>
      <c r="J17" s="433">
        <f>IF(H17="Pa",G17,IF(H17="kPa",G17*1000,IF(H17="log-Pa",10^G17,IF(H17="mm Hg",G17*133.322,0))))</f>
        <v>2000.6</v>
      </c>
      <c r="K17" s="178">
        <f>IF(H17="Pa",LOG(G17),IF(H17="kPa",LOG(G17*1000),IF(H17="log-Pa",G17,IF(H17="mm Hg",LOG(G17*133.322),0))))</f>
        <v>3.3011602644692082</v>
      </c>
      <c r="L17" s="433">
        <f>IF(H17="Pa",G17/133.322,IF(H17="kPa",(G17*1000)/133.322,IF(H17="log-Pa",(10^G17)/133.322,IF(H17="mm Hg",G17,0))))</f>
        <v>15.005775490916728</v>
      </c>
      <c r="M17" s="58">
        <v>37.700000000000003</v>
      </c>
      <c r="N17" s="30" t="s">
        <v>46</v>
      </c>
      <c r="O17" s="100">
        <f>VLOOKUP(N17,References!$B$7:$F$252,5,FALSE)</f>
        <v>118</v>
      </c>
      <c r="S17"/>
    </row>
    <row r="18" spans="1:19" x14ac:dyDescent="0.2">
      <c r="A18" s="868"/>
      <c r="B18" s="869"/>
      <c r="C18" s="841"/>
      <c r="D18" s="832"/>
      <c r="E18" s="149" t="s">
        <v>42</v>
      </c>
      <c r="F18" s="145" t="s">
        <v>43</v>
      </c>
      <c r="G18" s="58">
        <v>1.18</v>
      </c>
      <c r="H18" s="58" t="s">
        <v>565</v>
      </c>
      <c r="I18" s="58" t="s">
        <v>524</v>
      </c>
      <c r="J18" s="433">
        <f>IF(H18="Pa",G18,IF(H18="kPa",G18*1000,IF(H18="log-Pa",10^G18,IF(H18="mm Hg",G18*133.322,0))))</f>
        <v>1180</v>
      </c>
      <c r="K18" s="178">
        <f>IF(H18="Pa",LOG(G18),IF(H18="kPa",LOG(G18*1000),IF(H18="log-Pa",G18,IF(H18="mm Hg",LOG(G18*133.322),0))))</f>
        <v>3.0718820073061255</v>
      </c>
      <c r="L18" s="433">
        <f>IF(H18="Pa",G18/133.322,IF(H18="kPa",(G18*1000)/133.322,IF(H18="log-Pa",(10^G18)/133.322,IF(H18="mm Hg",G18,0))))</f>
        <v>8.8507523139466855</v>
      </c>
      <c r="M18" s="58">
        <v>25</v>
      </c>
      <c r="N18" s="30" t="s">
        <v>46</v>
      </c>
      <c r="O18" s="100">
        <f>VLOOKUP(N18,References!$B$7:$F$252,5,FALSE)</f>
        <v>118</v>
      </c>
      <c r="S18"/>
    </row>
    <row r="19" spans="1:19" x14ac:dyDescent="0.2">
      <c r="A19" s="868"/>
      <c r="B19" s="869"/>
      <c r="C19" s="841"/>
      <c r="D19" s="832"/>
      <c r="E19" s="149" t="s">
        <v>42</v>
      </c>
      <c r="F19" s="145" t="s">
        <v>43</v>
      </c>
      <c r="G19" s="58">
        <v>-0.65</v>
      </c>
      <c r="H19" s="58" t="s">
        <v>568</v>
      </c>
      <c r="I19" s="58" t="s">
        <v>27</v>
      </c>
      <c r="J19" s="433">
        <f>IF(H19="Pa",G19,IF(H19="kPa",G19*1000,IF(H19="log-Pa",10^G19,IF(H19="mm Hg",G19*133.322,0))))</f>
        <v>0.22387211385683392</v>
      </c>
      <c r="K19" s="178">
        <f>IF(H19="Pa",LOG(G19),IF(H19="kPa",LOG(G19*1000),IF(H19="log-Pa",G19,IF(H19="mm Hg",LOG(G19*133.322),0))))</f>
        <v>-0.65</v>
      </c>
      <c r="L19" s="433">
        <f>IF(H19="Pa",G19/133.322,IF(H19="kPa",(G19*1000)/133.322,IF(H19="log-Pa",(10^G19)/133.322,IF(H19="mm Hg",G19,0))))</f>
        <v>1.6791835845309396E-3</v>
      </c>
      <c r="M19" s="58" t="s">
        <v>33</v>
      </c>
      <c r="N19" s="30" t="s">
        <v>569</v>
      </c>
      <c r="O19" s="100">
        <f>VLOOKUP(N19,References!$B$7:$F$252,5,FALSE)</f>
        <v>53</v>
      </c>
      <c r="R19" s="250"/>
      <c r="S19"/>
    </row>
    <row r="20" spans="1:19" x14ac:dyDescent="0.2">
      <c r="A20" s="868"/>
      <c r="B20" s="869"/>
      <c r="C20" s="841"/>
      <c r="D20" s="832"/>
      <c r="E20" s="149" t="s">
        <v>42</v>
      </c>
      <c r="F20" s="145" t="s">
        <v>43</v>
      </c>
      <c r="G20" s="58">
        <v>2.93</v>
      </c>
      <c r="H20" s="58" t="s">
        <v>568</v>
      </c>
      <c r="I20" s="58" t="s">
        <v>27</v>
      </c>
      <c r="J20" s="433">
        <f>IF(H20="Pa",G20,IF(H20="kPa",G20*1000,IF(H20="log-Pa",10^G20,IF(H20="mm Hg",G20*133.322,0))))</f>
        <v>851.13803820237763</v>
      </c>
      <c r="K20" s="178">
        <f t="shared" ref="K20:K85" si="12">IF(H20="Pa",LOG(G20),IF(H20="kPa",LOG(G20*1000),IF(H20="log-Pa",G20,IF(H20="mm Hg",LOG(G20*133.322),0))))</f>
        <v>2.93</v>
      </c>
      <c r="L20" s="433">
        <f t="shared" ref="L20:L85" si="13">IF(H20="Pa",G20/133.322,IF(H20="kPa",(G20*1000)/133.322,IF(H20="log-Pa",(10^G20)/133.322,IF(H20="mm Hg",G20,0))))</f>
        <v>6.3840779331421489</v>
      </c>
      <c r="M20" s="58">
        <v>25</v>
      </c>
      <c r="N20" s="30" t="s">
        <v>520</v>
      </c>
      <c r="O20" s="100">
        <f>VLOOKUP(N20,References!$B$7:$F$252,5,FALSE)</f>
        <v>14</v>
      </c>
      <c r="R20" s="62"/>
      <c r="S20"/>
    </row>
    <row r="21" spans="1:19" x14ac:dyDescent="0.2">
      <c r="A21" s="868"/>
      <c r="B21" s="869"/>
      <c r="C21" s="841"/>
      <c r="D21" s="832"/>
      <c r="E21" s="149" t="s">
        <v>42</v>
      </c>
      <c r="F21" s="145" t="s">
        <v>43</v>
      </c>
      <c r="G21" s="58">
        <v>2.12</v>
      </c>
      <c r="H21" s="58" t="s">
        <v>568</v>
      </c>
      <c r="I21" s="58" t="s">
        <v>519</v>
      </c>
      <c r="J21" s="433">
        <f t="shared" ref="J21:J85" si="14">IF(H21="Pa",G21,IF(H21="kPa",G21*1000,IF(H21="log-Pa",10^G21,IF(H21="mm Hg",G21*133.322,0))))</f>
        <v>131.82567385564084</v>
      </c>
      <c r="K21" s="178">
        <f t="shared" si="12"/>
        <v>2.12</v>
      </c>
      <c r="L21" s="433">
        <f t="shared" si="13"/>
        <v>0.98877659992830025</v>
      </c>
      <c r="M21" s="58">
        <v>25</v>
      </c>
      <c r="N21" s="30" t="s">
        <v>520</v>
      </c>
      <c r="O21" s="100">
        <f>VLOOKUP(N21,References!$B$7:$F$252,5,FALSE)</f>
        <v>14</v>
      </c>
      <c r="R21" s="62"/>
      <c r="S21"/>
    </row>
    <row r="22" spans="1:19" x14ac:dyDescent="0.2">
      <c r="A22" s="868"/>
      <c r="B22" s="869"/>
      <c r="C22" s="841"/>
      <c r="D22" s="832"/>
      <c r="E22" s="149" t="s">
        <v>42</v>
      </c>
      <c r="F22" s="145" t="s">
        <v>43</v>
      </c>
      <c r="G22" s="58">
        <v>3.59</v>
      </c>
      <c r="H22" s="58" t="s">
        <v>568</v>
      </c>
      <c r="I22" s="58" t="s">
        <v>522</v>
      </c>
      <c r="J22" s="433">
        <f>IF(H22="Pa",G22,IF(H22="kPa",G22*1000,IF(H22="log-Pa",10^G22,IF(H22="mm Hg",G22*133.322,0))))</f>
        <v>3890.451449942811</v>
      </c>
      <c r="K22" s="178">
        <f>IF(H22="Pa",LOG(G22),IF(H22="kPa",LOG(G22*1000),IF(H22="log-Pa",G22,IF(H22="mm Hg",LOG(G22*133.322),0))))</f>
        <v>3.59</v>
      </c>
      <c r="L22" s="433">
        <f>IF(H22="Pa",G22/133.322,IF(H22="kPa",(G22*1000)/133.322,IF(H22="log-Pa",(10^G22)/133.322,IF(H22="mm Hg",G22,0))))</f>
        <v>29.180866248202179</v>
      </c>
      <c r="M22" s="58" t="s">
        <v>33</v>
      </c>
      <c r="N22" s="30" t="s">
        <v>523</v>
      </c>
      <c r="O22" s="100">
        <f>VLOOKUP(N22,References!$B$7:$F$252,5,FALSE)</f>
        <v>127</v>
      </c>
      <c r="R22" s="62"/>
      <c r="S22"/>
    </row>
    <row r="23" spans="1:19" x14ac:dyDescent="0.2">
      <c r="A23" s="868"/>
      <c r="B23" s="869"/>
      <c r="C23" s="841"/>
      <c r="D23" s="832"/>
      <c r="E23" s="149" t="s">
        <v>42</v>
      </c>
      <c r="F23" s="145" t="s">
        <v>43</v>
      </c>
      <c r="G23" s="58">
        <v>2.4</v>
      </c>
      <c r="H23" s="58" t="s">
        <v>568</v>
      </c>
      <c r="I23" s="58" t="s">
        <v>524</v>
      </c>
      <c r="J23" s="433">
        <f t="shared" ref="J23" si="15">IF(H23="Pa",G23,IF(H23="kPa",G23*1000,IF(H23="log-Pa",10^G23,IF(H23="mm Hg",G23*133.322,0))))</f>
        <v>251.18864315095806</v>
      </c>
      <c r="K23" s="178">
        <f t="shared" ref="K23" si="16">IF(H23="Pa",LOG(G23),IF(H23="kPa",LOG(G23*1000),IF(H23="log-Pa",G23,IF(H23="mm Hg",LOG(G23*133.322),0))))</f>
        <v>2.4</v>
      </c>
      <c r="L23" s="433">
        <f t="shared" ref="L23" si="17">IF(H23="Pa",G23/133.322,IF(H23="kPa",(G23*1000)/133.322,IF(H23="log-Pa",(10^G23)/133.322,IF(H23="mm Hg",G23,0))))</f>
        <v>1.8840749700046358</v>
      </c>
      <c r="M23" s="58">
        <v>25</v>
      </c>
      <c r="N23" s="30" t="s">
        <v>525</v>
      </c>
      <c r="O23" s="100">
        <f>VLOOKUP(N23,References!$B$7:$F$252,5,FALSE)</f>
        <v>61</v>
      </c>
      <c r="S23"/>
    </row>
    <row r="24" spans="1:19" x14ac:dyDescent="0.2">
      <c r="A24" s="868"/>
      <c r="B24" s="869"/>
      <c r="C24" s="841"/>
      <c r="D24" s="832"/>
      <c r="E24" s="149" t="s">
        <v>42</v>
      </c>
      <c r="F24" s="145" t="s">
        <v>43</v>
      </c>
      <c r="G24" s="58">
        <v>3.92</v>
      </c>
      <c r="H24" s="58" t="s">
        <v>564</v>
      </c>
      <c r="I24" s="58" t="s">
        <v>512</v>
      </c>
      <c r="J24" s="433">
        <f>IF(H24="Pa",G24,IF(H24="kPa",G24*1000,IF(H24="log-Pa",10^G24,IF(H24="mm Hg",G24*133.322,0))))</f>
        <v>522.62224000000003</v>
      </c>
      <c r="K24" s="178">
        <f>IF(H24="Pa",LOG(G24),IF(H24="kPa",LOG(G24*1000),IF(H24="log-Pa",G24,IF(H24="mm Hg",LOG(G24*133.322),0))))</f>
        <v>2.7181878870288179</v>
      </c>
      <c r="L24" s="433">
        <f>IF(H24="Pa",G24/133.322,IF(H24="kPa",(G24*1000)/133.322,IF(H24="log-Pa",(10^G24)/133.322,IF(H24="mm Hg",G24,0))))</f>
        <v>3.92</v>
      </c>
      <c r="M24" s="58" t="s">
        <v>33</v>
      </c>
      <c r="N24" s="30" t="s">
        <v>511</v>
      </c>
      <c r="O24" s="100">
        <f>VLOOKUP(N24,References!$B$7:$F$252,5,FALSE)</f>
        <v>36</v>
      </c>
      <c r="S24"/>
    </row>
    <row r="25" spans="1:19" x14ac:dyDescent="0.2">
      <c r="A25" s="868"/>
      <c r="B25" s="869"/>
      <c r="C25" s="841"/>
      <c r="D25" s="832"/>
      <c r="E25" s="149" t="s">
        <v>42</v>
      </c>
      <c r="F25" s="145" t="s">
        <v>43</v>
      </c>
      <c r="G25" s="58">
        <v>9.8000000000000007</v>
      </c>
      <c r="H25" s="58" t="s">
        <v>564</v>
      </c>
      <c r="I25" s="58" t="s">
        <v>514</v>
      </c>
      <c r="J25" s="433">
        <f t="shared" si="14"/>
        <v>1306.5556000000001</v>
      </c>
      <c r="K25" s="178">
        <f t="shared" si="12"/>
        <v>3.1161278957008554</v>
      </c>
      <c r="L25" s="433">
        <f t="shared" si="13"/>
        <v>9.8000000000000007</v>
      </c>
      <c r="M25" s="58" t="s">
        <v>33</v>
      </c>
      <c r="N25" s="30" t="s">
        <v>511</v>
      </c>
      <c r="O25" s="100">
        <f>VLOOKUP(N25,References!$B$7:$F$252,5,FALSE)</f>
        <v>36</v>
      </c>
      <c r="S25"/>
    </row>
    <row r="26" spans="1:19" x14ac:dyDescent="0.2">
      <c r="A26" s="879"/>
      <c r="B26" s="851"/>
      <c r="C26" s="842"/>
      <c r="D26" s="834"/>
      <c r="E26" s="182" t="s">
        <v>42</v>
      </c>
      <c r="F26" s="239" t="s">
        <v>43</v>
      </c>
      <c r="G26" s="59">
        <v>33.6</v>
      </c>
      <c r="H26" s="59" t="s">
        <v>564</v>
      </c>
      <c r="I26" s="59" t="s">
        <v>515</v>
      </c>
      <c r="J26" s="469">
        <f t="shared" si="14"/>
        <v>4479.6192000000001</v>
      </c>
      <c r="K26" s="183">
        <f t="shared" si="12"/>
        <v>3.6512410973982043</v>
      </c>
      <c r="L26" s="469">
        <f t="shared" si="13"/>
        <v>33.6</v>
      </c>
      <c r="M26" s="59" t="s">
        <v>33</v>
      </c>
      <c r="N26" s="37" t="s">
        <v>511</v>
      </c>
      <c r="O26" s="122">
        <f>VLOOKUP(N26,References!$B$7:$F$252,5,FALSE)</f>
        <v>36</v>
      </c>
      <c r="S26"/>
    </row>
    <row r="27" spans="1:19" x14ac:dyDescent="0.2">
      <c r="A27" s="868" t="s">
        <v>51</v>
      </c>
      <c r="B27" s="869" t="s">
        <v>52</v>
      </c>
      <c r="C27" s="841">
        <v>264.10000000000002</v>
      </c>
      <c r="D27" s="832" t="s">
        <v>53</v>
      </c>
      <c r="E27" s="149" t="s">
        <v>52</v>
      </c>
      <c r="F27" s="145" t="s">
        <v>53</v>
      </c>
      <c r="G27" s="58">
        <v>2.72</v>
      </c>
      <c r="H27" s="58" t="s">
        <v>565</v>
      </c>
      <c r="I27" s="58" t="s">
        <v>27</v>
      </c>
      <c r="J27" s="433">
        <f>IF(H27="Pa",G27,IF(H27="kPa",G27*1000,IF(H27="log-Pa",10^G27,IF(H27="mm Hg",G27*133.322,0))))</f>
        <v>2720</v>
      </c>
      <c r="K27" s="178">
        <f>IF(H27="Pa",LOG(G27),IF(H27="kPa",LOG(G27*1000),IF(H27="log-Pa",G27,IF(H27="mm Hg",LOG(G27*133.322),0))))</f>
        <v>3.4345689040341987</v>
      </c>
      <c r="L27" s="433">
        <f>IF(H27="Pa",G27/133.322,IF(H27="kPa",(G27*1000)/133.322,IF(H27="log-Pa",(10^G27)/133.322,IF(H27="mm Hg",G27,0))))</f>
        <v>20.401734147402529</v>
      </c>
      <c r="M27" s="58">
        <v>25</v>
      </c>
      <c r="N27" s="30" t="s">
        <v>567</v>
      </c>
      <c r="O27" s="100">
        <f>VLOOKUP(N27,References!$B$7:$F$252,5,FALSE)</f>
        <v>68</v>
      </c>
      <c r="S27"/>
    </row>
    <row r="28" spans="1:19" x14ac:dyDescent="0.2">
      <c r="A28" s="868"/>
      <c r="B28" s="869"/>
      <c r="C28" s="841"/>
      <c r="D28" s="832"/>
      <c r="E28" s="149" t="s">
        <v>52</v>
      </c>
      <c r="F28" s="145" t="s">
        <v>53</v>
      </c>
      <c r="G28" s="58">
        <v>0.05</v>
      </c>
      <c r="H28" s="58" t="s">
        <v>568</v>
      </c>
      <c r="I28" s="58" t="s">
        <v>27</v>
      </c>
      <c r="J28" s="433">
        <f>IF(H28="Pa",G28,IF(H28="kPa",G28*1000,IF(H28="log-Pa",10^G28,IF(H28="mm Hg",G28*133.322,0))))</f>
        <v>1.1220184543019636</v>
      </c>
      <c r="K28" s="178">
        <f>IF(H28="Pa",LOG(G28),IF(H28="kPa",LOG(G28*1000),IF(H28="log-Pa",G28,IF(H28="mm Hg",LOG(G28*133.322),0))))</f>
        <v>0.05</v>
      </c>
      <c r="L28" s="433">
        <f>IF(H28="Pa",G28/133.322,IF(H28="kPa",(G28*1000)/133.322,IF(H28="log-Pa",(10^G28)/133.322,IF(H28="mm Hg",G28,0))))</f>
        <v>8.4158537548338873E-3</v>
      </c>
      <c r="M28" s="58" t="s">
        <v>33</v>
      </c>
      <c r="N28" s="30" t="s">
        <v>569</v>
      </c>
      <c r="O28" s="100">
        <f>VLOOKUP(N28,References!$B$7:$F$252,5,FALSE)</f>
        <v>53</v>
      </c>
      <c r="S28"/>
    </row>
    <row r="29" spans="1:19" x14ac:dyDescent="0.2">
      <c r="A29" s="868"/>
      <c r="B29" s="869"/>
      <c r="C29" s="841"/>
      <c r="D29" s="832"/>
      <c r="E29" s="149" t="s">
        <v>52</v>
      </c>
      <c r="F29" s="145" t="s">
        <v>53</v>
      </c>
      <c r="G29" s="58">
        <v>2.5299999999999998</v>
      </c>
      <c r="H29" s="58" t="s">
        <v>568</v>
      </c>
      <c r="I29" s="58" t="s">
        <v>519</v>
      </c>
      <c r="J29" s="433">
        <f t="shared" si="14"/>
        <v>338.84415613920248</v>
      </c>
      <c r="K29" s="178">
        <f t="shared" si="12"/>
        <v>2.5299999999999998</v>
      </c>
      <c r="L29" s="433">
        <f t="shared" si="13"/>
        <v>2.5415472025562358</v>
      </c>
      <c r="M29" s="58">
        <v>25</v>
      </c>
      <c r="N29" s="30" t="s">
        <v>520</v>
      </c>
      <c r="O29" s="100">
        <f>VLOOKUP(N29,References!$B$7:$F$252,5,FALSE)</f>
        <v>14</v>
      </c>
      <c r="S29"/>
    </row>
    <row r="30" spans="1:19" x14ac:dyDescent="0.2">
      <c r="A30" s="868"/>
      <c r="B30" s="869"/>
      <c r="C30" s="841"/>
      <c r="D30" s="832"/>
      <c r="E30" s="149" t="s">
        <v>52</v>
      </c>
      <c r="F30" s="145" t="s">
        <v>53</v>
      </c>
      <c r="G30" s="58">
        <f>3.13</f>
        <v>3.13</v>
      </c>
      <c r="H30" s="58" t="s">
        <v>568</v>
      </c>
      <c r="I30" s="58" t="s">
        <v>522</v>
      </c>
      <c r="J30" s="433">
        <f>IF(H30="Pa",G30,IF(H30="kPa",G30*1000,IF(H30="log-Pa",10^G30,IF(H30="mm Hg",G30*133.322,0))))</f>
        <v>1348.9628825916541</v>
      </c>
      <c r="K30" s="178">
        <f>IF(H30="Pa",LOG(G30),IF(H30="kPa",LOG(G30*1000),IF(H30="log-Pa",G30,IF(H30="mm Hg",LOG(G30*133.322),0))))</f>
        <v>3.13</v>
      </c>
      <c r="L30" s="433">
        <f>IF(H30="Pa",G30/133.322,IF(H30="kPa",(G30*1000)/133.322,IF(H30="log-Pa",(10^G30)/133.322,IF(H30="mm Hg",G30,0))))</f>
        <v>10.118081656378198</v>
      </c>
      <c r="M30" s="58" t="s">
        <v>33</v>
      </c>
      <c r="N30" s="30" t="s">
        <v>523</v>
      </c>
      <c r="O30" s="100">
        <f>VLOOKUP(N30,References!$B$7:$F$252,5,FALSE)</f>
        <v>127</v>
      </c>
      <c r="S30"/>
    </row>
    <row r="31" spans="1:19" x14ac:dyDescent="0.2">
      <c r="A31" s="868"/>
      <c r="B31" s="869"/>
      <c r="C31" s="841"/>
      <c r="D31" s="832"/>
      <c r="E31" s="149" t="s">
        <v>52</v>
      </c>
      <c r="F31" s="145" t="s">
        <v>53</v>
      </c>
      <c r="G31" s="58">
        <v>2.1800000000000002</v>
      </c>
      <c r="H31" s="58" t="s">
        <v>568</v>
      </c>
      <c r="I31" s="58" t="s">
        <v>524</v>
      </c>
      <c r="J31" s="433">
        <f t="shared" ref="J31" si="18">IF(H31="Pa",G31,IF(H31="kPa",G31*1000,IF(H31="log-Pa",10^G31,IF(H31="mm Hg",G31*133.322,0))))</f>
        <v>151.3561248436209</v>
      </c>
      <c r="K31" s="178">
        <f t="shared" ref="K31" si="19">IF(H31="Pa",LOG(G31),IF(H31="kPa",LOG(G31*1000),IF(H31="log-Pa",G31,IF(H31="mm Hg",LOG(G31*133.322),0))))</f>
        <v>2.1800000000000002</v>
      </c>
      <c r="L31" s="433">
        <f t="shared" ref="L31" si="20">IF(H31="Pa",G31/133.322,IF(H31="kPa",(G31*1000)/133.322,IF(H31="log-Pa",(10^G31)/133.322,IF(H31="mm Hg",G31,0))))</f>
        <v>1.1352674340590518</v>
      </c>
      <c r="M31" s="58">
        <v>25</v>
      </c>
      <c r="N31" s="30" t="s">
        <v>525</v>
      </c>
      <c r="O31" s="100">
        <f>VLOOKUP(N31,References!$B$7:$F$252,5,FALSE)</f>
        <v>61</v>
      </c>
      <c r="S31"/>
    </row>
    <row r="32" spans="1:19" x14ac:dyDescent="0.2">
      <c r="A32" s="868"/>
      <c r="B32" s="869"/>
      <c r="C32" s="841"/>
      <c r="D32" s="832"/>
      <c r="E32" s="149" t="s">
        <v>52</v>
      </c>
      <c r="F32" s="145" t="s">
        <v>53</v>
      </c>
      <c r="G32" s="58">
        <v>0.92300000000000004</v>
      </c>
      <c r="H32" s="58" t="s">
        <v>564</v>
      </c>
      <c r="I32" s="58" t="s">
        <v>512</v>
      </c>
      <c r="J32" s="433">
        <f t="shared" si="14"/>
        <v>123.056206</v>
      </c>
      <c r="K32" s="178">
        <f t="shared" si="12"/>
        <v>2.0901035210342727</v>
      </c>
      <c r="L32" s="433">
        <f t="shared" si="13"/>
        <v>0.92300000000000004</v>
      </c>
      <c r="M32" s="58" t="s">
        <v>33</v>
      </c>
      <c r="N32" s="30" t="s">
        <v>511</v>
      </c>
      <c r="O32" s="100">
        <f>VLOOKUP(N32,References!$B$7:$F$252,5,FALSE)</f>
        <v>36</v>
      </c>
      <c r="S32"/>
    </row>
    <row r="33" spans="1:19" x14ac:dyDescent="0.2">
      <c r="A33" s="868"/>
      <c r="B33" s="869"/>
      <c r="C33" s="841"/>
      <c r="D33" s="832"/>
      <c r="E33" s="149" t="s">
        <v>52</v>
      </c>
      <c r="F33" s="145" t="s">
        <v>53</v>
      </c>
      <c r="G33" s="58">
        <v>7.93</v>
      </c>
      <c r="H33" s="58" t="s">
        <v>564</v>
      </c>
      <c r="I33" s="58" t="s">
        <v>514</v>
      </c>
      <c r="J33" s="433">
        <f t="shared" si="14"/>
        <v>1057.2434599999999</v>
      </c>
      <c r="K33" s="178">
        <f t="shared" si="12"/>
        <v>3.0241750073259643</v>
      </c>
      <c r="L33" s="433">
        <f t="shared" si="13"/>
        <v>7.93</v>
      </c>
      <c r="M33" s="58" t="s">
        <v>33</v>
      </c>
      <c r="N33" s="30" t="s">
        <v>511</v>
      </c>
      <c r="O33" s="100">
        <f>VLOOKUP(N33,References!$B$7:$F$252,5,FALSE)</f>
        <v>36</v>
      </c>
      <c r="S33"/>
    </row>
    <row r="34" spans="1:19" x14ac:dyDescent="0.2">
      <c r="A34" s="879"/>
      <c r="B34" s="851"/>
      <c r="C34" s="842"/>
      <c r="D34" s="834"/>
      <c r="E34" s="182" t="s">
        <v>52</v>
      </c>
      <c r="F34" s="239" t="s">
        <v>53</v>
      </c>
      <c r="G34" s="59">
        <v>6.62</v>
      </c>
      <c r="H34" s="59" t="s">
        <v>564</v>
      </c>
      <c r="I34" s="59" t="s">
        <v>515</v>
      </c>
      <c r="J34" s="469">
        <f t="shared" si="14"/>
        <v>882.59163999999998</v>
      </c>
      <c r="K34" s="183">
        <f t="shared" si="12"/>
        <v>2.9457598094480604</v>
      </c>
      <c r="L34" s="469">
        <f t="shared" si="13"/>
        <v>6.62</v>
      </c>
      <c r="M34" s="59" t="s">
        <v>33</v>
      </c>
      <c r="N34" s="37" t="s">
        <v>511</v>
      </c>
      <c r="O34" s="122">
        <f>VLOOKUP(N34,References!$B$7:$F$252,5,FALSE)</f>
        <v>36</v>
      </c>
      <c r="S34"/>
    </row>
    <row r="35" spans="1:19" x14ac:dyDescent="0.2">
      <c r="A35" s="868" t="s">
        <v>57</v>
      </c>
      <c r="B35" s="869" t="s">
        <v>58</v>
      </c>
      <c r="C35" s="832">
        <v>314.10000000000002</v>
      </c>
      <c r="D35" s="832" t="s">
        <v>59</v>
      </c>
      <c r="E35" s="145" t="s">
        <v>58</v>
      </c>
      <c r="F35" s="145" t="s">
        <v>59</v>
      </c>
      <c r="G35" s="58">
        <v>2.06</v>
      </c>
      <c r="H35" s="58" t="s">
        <v>568</v>
      </c>
      <c r="I35" s="58" t="s">
        <v>522</v>
      </c>
      <c r="J35" s="433">
        <f>IF(H35="Pa",G35,IF(H35="kPa",G35*1000,IF(H35="log-Pa",10^G35,IF(H35="mm Hg",G35*133.322,0))))</f>
        <v>114.81536214968835</v>
      </c>
      <c r="K35" s="178">
        <f>IF(H35="Pa",LOG(G35),IF(H35="kPa",LOG(G35*1000),IF(H35="log-Pa",G35,IF(H35="mm Hg",LOG(G35*133.322),0))))</f>
        <v>2.06</v>
      </c>
      <c r="L35" s="433">
        <f>IF(H35="Pa",G35/133.322,IF(H35="kPa",(G35*1000)/133.322,IF(H35="log-Pa",(10^G35)/133.322,IF(H35="mm Hg",G35,0))))</f>
        <v>0.86118841713811933</v>
      </c>
      <c r="M35" s="58" t="s">
        <v>33</v>
      </c>
      <c r="N35" s="30" t="s">
        <v>570</v>
      </c>
      <c r="O35" s="100">
        <f>VLOOKUP(N35,References!$B$7:$F$252,5,FALSE)</f>
        <v>9</v>
      </c>
    </row>
    <row r="36" spans="1:19" x14ac:dyDescent="0.2">
      <c r="A36" s="868"/>
      <c r="B36" s="869"/>
      <c r="C36" s="832"/>
      <c r="D36" s="832"/>
      <c r="E36" s="145" t="s">
        <v>58</v>
      </c>
      <c r="F36" s="145" t="s">
        <v>59</v>
      </c>
      <c r="G36" s="58">
        <v>2.75</v>
      </c>
      <c r="H36" s="58" t="s">
        <v>568</v>
      </c>
      <c r="I36" s="58" t="s">
        <v>571</v>
      </c>
      <c r="J36" s="433">
        <f>IF(H36="Pa",G36,IF(H36="kPa",G36*1000,IF(H36="log-Pa",10^G36,IF(H36="mm Hg",G36*133.322,0))))</f>
        <v>562.34132519034927</v>
      </c>
      <c r="K36" s="178">
        <f>IF(H36="Pa",LOG(G36),IF(H36="kPa",LOG(G36*1000),IF(H36="log-Pa",G36,IF(H36="mm Hg",LOG(G36*133.322),0))))</f>
        <v>2.75</v>
      </c>
      <c r="L36" s="433">
        <f>IF(H36="Pa",G36/133.322,IF(H36="kPa",(G36*1000)/133.322,IF(H36="log-Pa",(10^G36)/133.322,IF(H36="mm Hg",G36,0))))</f>
        <v>4.2179184619968888</v>
      </c>
      <c r="M36" s="58" t="s">
        <v>33</v>
      </c>
      <c r="N36" s="30" t="s">
        <v>570</v>
      </c>
      <c r="O36" s="100">
        <f>VLOOKUP(N36,References!$B$7:$F$252,5,FALSE)</f>
        <v>9</v>
      </c>
      <c r="S36"/>
    </row>
    <row r="37" spans="1:19" x14ac:dyDescent="0.2">
      <c r="A37" s="868"/>
      <c r="B37" s="869"/>
      <c r="C37" s="832"/>
      <c r="D37" s="832"/>
      <c r="E37" s="145" t="s">
        <v>58</v>
      </c>
      <c r="F37" s="145" t="s">
        <v>59</v>
      </c>
      <c r="G37" s="58">
        <v>2.42</v>
      </c>
      <c r="H37" s="58" t="s">
        <v>568</v>
      </c>
      <c r="I37" s="58" t="s">
        <v>513</v>
      </c>
      <c r="J37" s="433">
        <f>IF(H37="Pa",G37,IF(H37="kPa",G37*1000,IF(H37="log-Pa",10^G37,IF(H37="mm Hg",G37*133.322,0))))</f>
        <v>263.02679918953817</v>
      </c>
      <c r="K37" s="178">
        <f>IF(H37="Pa",LOG(G37),IF(H37="kPa",LOG(G37*1000),IF(H37="log-Pa",G37,IF(H37="mm Hg",LOG(G37*133.322),0))))</f>
        <v>2.42</v>
      </c>
      <c r="L37" s="433">
        <f>IF(H37="Pa",G37/133.322,IF(H37="kPa",(G37*1000)/133.322,IF(H37="log-Pa",(10^G37)/133.322,IF(H37="mm Hg",G37,0))))</f>
        <v>1.9728686877599959</v>
      </c>
      <c r="M37" s="58" t="s">
        <v>33</v>
      </c>
      <c r="N37" s="30" t="s">
        <v>570</v>
      </c>
      <c r="O37" s="100">
        <f>VLOOKUP(N37,References!$B$7:$F$252,5,FALSE)</f>
        <v>9</v>
      </c>
      <c r="S37"/>
    </row>
    <row r="38" spans="1:19" x14ac:dyDescent="0.2">
      <c r="A38" s="868"/>
      <c r="B38" s="869"/>
      <c r="C38" s="832"/>
      <c r="D38" s="832"/>
      <c r="E38" s="145" t="s">
        <v>58</v>
      </c>
      <c r="F38" s="145" t="s">
        <v>59</v>
      </c>
      <c r="G38" s="58">
        <v>0.71</v>
      </c>
      <c r="H38" s="58" t="s">
        <v>568</v>
      </c>
      <c r="I38" s="58" t="s">
        <v>27</v>
      </c>
      <c r="J38" s="433">
        <f>IF(H38="Pa",G38,IF(H38="kPa",G38*1000,IF(H38="log-Pa",10^G38,IF(H38="mm Hg",G38*133.322,0))))</f>
        <v>5.1286138399136494</v>
      </c>
      <c r="K38" s="178">
        <f>IF(H38="Pa",LOG(G38),IF(H38="kPa",LOG(G38*1000),IF(H38="log-Pa",G38,IF(H38="mm Hg",LOG(G38*133.322),0))))</f>
        <v>0.71</v>
      </c>
      <c r="L38" s="433">
        <f>IF(H38="Pa",G38/133.322,IF(H38="kPa",(G38*1000)/133.322,IF(H38="log-Pa",(10^G38)/133.322,IF(H38="mm Hg",G38,0))))</f>
        <v>3.8467873568605704E-2</v>
      </c>
      <c r="M38" s="58" t="s">
        <v>33</v>
      </c>
      <c r="N38" s="30" t="s">
        <v>569</v>
      </c>
      <c r="O38" s="100">
        <f>VLOOKUP(N38,References!$B$7:$F$252,5,FALSE)</f>
        <v>53</v>
      </c>
      <c r="S38"/>
    </row>
    <row r="39" spans="1:19" x14ac:dyDescent="0.2">
      <c r="A39" s="868"/>
      <c r="B39" s="869"/>
      <c r="C39" s="832"/>
      <c r="D39" s="832"/>
      <c r="E39" s="145" t="s">
        <v>58</v>
      </c>
      <c r="F39" s="145" t="s">
        <v>59</v>
      </c>
      <c r="G39" s="58">
        <v>2.08</v>
      </c>
      <c r="H39" s="58" t="s">
        <v>568</v>
      </c>
      <c r="I39" s="58" t="s">
        <v>519</v>
      </c>
      <c r="J39" s="433">
        <f t="shared" si="14"/>
        <v>120.22644346174135</v>
      </c>
      <c r="K39" s="178">
        <f t="shared" si="12"/>
        <v>2.08</v>
      </c>
      <c r="L39" s="433">
        <f t="shared" si="13"/>
        <v>0.9017749768360912</v>
      </c>
      <c r="M39" s="58">
        <v>25</v>
      </c>
      <c r="N39" s="30" t="s">
        <v>520</v>
      </c>
      <c r="O39" s="100">
        <f>VLOOKUP(N39,References!$B$7:$F$252,5,FALSE)</f>
        <v>14</v>
      </c>
      <c r="S39"/>
    </row>
    <row r="40" spans="1:19" x14ac:dyDescent="0.2">
      <c r="A40" s="868"/>
      <c r="B40" s="869"/>
      <c r="C40" s="832"/>
      <c r="D40" s="832"/>
      <c r="E40" s="145" t="s">
        <v>58</v>
      </c>
      <c r="F40" s="145" t="s">
        <v>59</v>
      </c>
      <c r="G40" s="58">
        <v>2.66</v>
      </c>
      <c r="H40" s="58" t="s">
        <v>568</v>
      </c>
      <c r="I40" s="58" t="s">
        <v>522</v>
      </c>
      <c r="J40" s="433">
        <f t="shared" si="14"/>
        <v>457.0881896148756</v>
      </c>
      <c r="K40" s="178">
        <f t="shared" si="12"/>
        <v>2.66</v>
      </c>
      <c r="L40" s="433">
        <f t="shared" si="13"/>
        <v>3.4284528406030184</v>
      </c>
      <c r="M40" s="58" t="s">
        <v>33</v>
      </c>
      <c r="N40" s="30" t="s">
        <v>523</v>
      </c>
      <c r="O40" s="100">
        <f>VLOOKUP(N40,References!$B$7:$F$252,5,FALSE)</f>
        <v>127</v>
      </c>
      <c r="S40"/>
    </row>
    <row r="41" spans="1:19" x14ac:dyDescent="0.2">
      <c r="A41" s="868"/>
      <c r="B41" s="869"/>
      <c r="C41" s="832"/>
      <c r="D41" s="832"/>
      <c r="E41" s="145" t="s">
        <v>58</v>
      </c>
      <c r="F41" s="145" t="s">
        <v>59</v>
      </c>
      <c r="G41" s="178">
        <v>35.51</v>
      </c>
      <c r="H41" s="58" t="s">
        <v>562</v>
      </c>
      <c r="I41" s="58" t="s">
        <v>27</v>
      </c>
      <c r="J41" s="433">
        <f t="shared" ref="J41:J46" si="21">IF(H41="Pa",G41,IF(H41="kPa",G41*1000,IF(H41="log-Pa",10^G41,IF(H41="mm Hg",G41*133.322,0))))</f>
        <v>35.51</v>
      </c>
      <c r="K41" s="178">
        <f t="shared" ref="K41:K46" si="22">IF(H41="Pa",LOG(G41),IF(H41="kPa",LOG(G41*1000),IF(H41="log-Pa",G41,IF(H41="mm Hg",LOG(G41*133.322),0))))</f>
        <v>1.5503506723016154</v>
      </c>
      <c r="L41" s="433">
        <f t="shared" ref="L41:L46" si="23">IF(H41="Pa",G41/133.322,IF(H41="kPa",(G41*1000)/133.322,IF(H41="log-Pa",(10^G41)/133.322,IF(H41="mm Hg",G41,0))))</f>
        <v>0.26634763954936169</v>
      </c>
      <c r="M41" s="58">
        <v>17</v>
      </c>
      <c r="N41" s="30" t="s">
        <v>62</v>
      </c>
      <c r="O41" s="100">
        <f>VLOOKUP(N41,References!$B$7:$F$252,5,FALSE)</f>
        <v>112</v>
      </c>
      <c r="S41"/>
    </row>
    <row r="42" spans="1:19" x14ac:dyDescent="0.2">
      <c r="A42" s="868"/>
      <c r="B42" s="869"/>
      <c r="C42" s="832"/>
      <c r="D42" s="832"/>
      <c r="E42" s="145" t="s">
        <v>58</v>
      </c>
      <c r="F42" s="145" t="s">
        <v>59</v>
      </c>
      <c r="G42" s="178">
        <v>44</v>
      </c>
      <c r="H42" s="58" t="s">
        <v>562</v>
      </c>
      <c r="I42" s="58" t="s">
        <v>27</v>
      </c>
      <c r="J42" s="433">
        <f t="shared" si="21"/>
        <v>44</v>
      </c>
      <c r="K42" s="178">
        <f t="shared" si="22"/>
        <v>1.6434526764861874</v>
      </c>
      <c r="L42" s="433">
        <f t="shared" si="23"/>
        <v>0.33002805238445265</v>
      </c>
      <c r="M42" s="58">
        <v>20</v>
      </c>
      <c r="N42" s="30" t="s">
        <v>62</v>
      </c>
      <c r="O42" s="100">
        <f>VLOOKUP(N42,References!$B$7:$F$252,5,FALSE)</f>
        <v>112</v>
      </c>
      <c r="S42"/>
    </row>
    <row r="43" spans="1:19" x14ac:dyDescent="0.2">
      <c r="A43" s="868"/>
      <c r="B43" s="869"/>
      <c r="C43" s="832"/>
      <c r="D43" s="832"/>
      <c r="E43" s="145" t="s">
        <v>58</v>
      </c>
      <c r="F43" s="145" t="s">
        <v>59</v>
      </c>
      <c r="G43" s="178">
        <v>69.849999999999994</v>
      </c>
      <c r="H43" s="58" t="s">
        <v>562</v>
      </c>
      <c r="I43" s="58" t="s">
        <v>524</v>
      </c>
      <c r="J43" s="433">
        <f t="shared" si="21"/>
        <v>69.849999999999994</v>
      </c>
      <c r="K43" s="178">
        <f t="shared" si="22"/>
        <v>1.8441664104502007</v>
      </c>
      <c r="L43" s="433">
        <f t="shared" si="23"/>
        <v>0.52391953316031858</v>
      </c>
      <c r="M43" s="58">
        <v>25</v>
      </c>
      <c r="N43" s="30" t="s">
        <v>62</v>
      </c>
      <c r="O43" s="100">
        <f>VLOOKUP(N43,References!$B$7:$F$252,5,FALSE)</f>
        <v>112</v>
      </c>
      <c r="S43"/>
    </row>
    <row r="44" spans="1:19" x14ac:dyDescent="0.2">
      <c r="A44" s="868"/>
      <c r="B44" s="869"/>
      <c r="C44" s="832"/>
      <c r="D44" s="832"/>
      <c r="E44" s="145" t="s">
        <v>58</v>
      </c>
      <c r="F44" s="145" t="s">
        <v>59</v>
      </c>
      <c r="G44" s="58">
        <v>1.96</v>
      </c>
      <c r="H44" s="58" t="s">
        <v>568</v>
      </c>
      <c r="I44" s="58" t="s">
        <v>524</v>
      </c>
      <c r="J44" s="433">
        <f t="shared" si="21"/>
        <v>91.201083935590972</v>
      </c>
      <c r="K44" s="178">
        <f t="shared" si="22"/>
        <v>1.96</v>
      </c>
      <c r="L44" s="433">
        <f t="shared" si="23"/>
        <v>0.68406627515032004</v>
      </c>
      <c r="M44" s="58">
        <v>25</v>
      </c>
      <c r="N44" s="30" t="s">
        <v>525</v>
      </c>
      <c r="O44" s="100">
        <f>VLOOKUP(N44,References!$B$7:$F$252,5,FALSE)</f>
        <v>61</v>
      </c>
      <c r="S44"/>
    </row>
    <row r="45" spans="1:19" x14ac:dyDescent="0.2">
      <c r="A45" s="868"/>
      <c r="B45" s="869"/>
      <c r="C45" s="832"/>
      <c r="D45" s="832"/>
      <c r="E45" s="145" t="s">
        <v>58</v>
      </c>
      <c r="F45" s="145" t="s">
        <v>59</v>
      </c>
      <c r="G45" s="58">
        <v>1.49</v>
      </c>
      <c r="H45" s="58" t="s">
        <v>568</v>
      </c>
      <c r="I45" s="58" t="s">
        <v>524</v>
      </c>
      <c r="J45" s="433">
        <f t="shared" si="21"/>
        <v>30.902954325135919</v>
      </c>
      <c r="K45" s="178">
        <f t="shared" si="22"/>
        <v>1.49</v>
      </c>
      <c r="L45" s="433">
        <f t="shared" si="23"/>
        <v>0.23179185974659786</v>
      </c>
      <c r="M45" s="58">
        <v>25</v>
      </c>
      <c r="N45" s="30" t="s">
        <v>55</v>
      </c>
      <c r="O45" s="100">
        <f>VLOOKUP(N45,References!$B$7:$F$252,5,FALSE)</f>
        <v>150</v>
      </c>
      <c r="S45"/>
    </row>
    <row r="46" spans="1:19" x14ac:dyDescent="0.2">
      <c r="A46" s="868"/>
      <c r="B46" s="869"/>
      <c r="C46" s="832"/>
      <c r="D46" s="832"/>
      <c r="E46" s="145" t="s">
        <v>58</v>
      </c>
      <c r="F46" s="145" t="s">
        <v>59</v>
      </c>
      <c r="G46" s="58">
        <v>1.1200000000000001</v>
      </c>
      <c r="H46" s="58" t="s">
        <v>568</v>
      </c>
      <c r="I46" s="58" t="s">
        <v>27</v>
      </c>
      <c r="J46" s="433">
        <f t="shared" si="21"/>
        <v>13.182567385564075</v>
      </c>
      <c r="K46" s="178">
        <f t="shared" si="22"/>
        <v>1.1200000000000001</v>
      </c>
      <c r="L46" s="433">
        <f t="shared" si="23"/>
        <v>9.887765999282995E-2</v>
      </c>
      <c r="M46" s="58">
        <v>25</v>
      </c>
      <c r="N46" s="30" t="s">
        <v>55</v>
      </c>
      <c r="O46" s="100">
        <f>VLOOKUP(N46,References!$B$7:$F$252,5,FALSE)</f>
        <v>150</v>
      </c>
      <c r="S46"/>
    </row>
    <row r="47" spans="1:19" x14ac:dyDescent="0.2">
      <c r="A47" s="868"/>
      <c r="B47" s="869"/>
      <c r="C47" s="832"/>
      <c r="D47" s="832"/>
      <c r="E47" s="145" t="s">
        <v>58</v>
      </c>
      <c r="F47" s="145" t="s">
        <v>59</v>
      </c>
      <c r="G47" s="58">
        <v>0.91</v>
      </c>
      <c r="H47" s="58" t="s">
        <v>564</v>
      </c>
      <c r="I47" s="58" t="s">
        <v>512</v>
      </c>
      <c r="J47" s="433">
        <f t="shared" si="14"/>
        <v>121.32302</v>
      </c>
      <c r="K47" s="178">
        <f t="shared" si="12"/>
        <v>2.0839432123294541</v>
      </c>
      <c r="L47" s="433">
        <f t="shared" si="13"/>
        <v>0.91</v>
      </c>
      <c r="M47" s="58" t="s">
        <v>33</v>
      </c>
      <c r="N47" s="30" t="s">
        <v>511</v>
      </c>
      <c r="O47" s="100">
        <f>VLOOKUP(N47,References!$B$7:$F$252,5,FALSE)</f>
        <v>36</v>
      </c>
      <c r="S47"/>
    </row>
    <row r="48" spans="1:19" x14ac:dyDescent="0.2">
      <c r="A48" s="868"/>
      <c r="B48" s="869"/>
      <c r="C48" s="832"/>
      <c r="D48" s="832"/>
      <c r="E48" s="145" t="s">
        <v>58</v>
      </c>
      <c r="F48" s="145" t="s">
        <v>59</v>
      </c>
      <c r="G48" s="58">
        <v>3.09</v>
      </c>
      <c r="H48" s="58" t="s">
        <v>564</v>
      </c>
      <c r="I48" s="58" t="s">
        <v>514</v>
      </c>
      <c r="J48" s="433">
        <f t="shared" si="14"/>
        <v>411.96497999999997</v>
      </c>
      <c r="K48" s="178">
        <f t="shared" si="12"/>
        <v>2.6148602994331949</v>
      </c>
      <c r="L48" s="433">
        <f t="shared" si="13"/>
        <v>3.09</v>
      </c>
      <c r="M48" s="58" t="s">
        <v>33</v>
      </c>
      <c r="N48" s="30" t="s">
        <v>511</v>
      </c>
      <c r="O48" s="100">
        <f>VLOOKUP(N48,References!$B$7:$F$252,5,FALSE)</f>
        <v>36</v>
      </c>
      <c r="S48"/>
    </row>
    <row r="49" spans="1:19" x14ac:dyDescent="0.2">
      <c r="A49" s="879"/>
      <c r="B49" s="851"/>
      <c r="C49" s="834"/>
      <c r="D49" s="834"/>
      <c r="E49" s="239" t="s">
        <v>58</v>
      </c>
      <c r="F49" s="239" t="s">
        <v>59</v>
      </c>
      <c r="G49" s="59">
        <v>0.90300000000000002</v>
      </c>
      <c r="H49" s="59" t="s">
        <v>564</v>
      </c>
      <c r="I49" s="59" t="s">
        <v>515</v>
      </c>
      <c r="J49" s="469">
        <f t="shared" si="14"/>
        <v>120.38976600000001</v>
      </c>
      <c r="K49" s="183">
        <f t="shared" si="12"/>
        <v>2.0805895703218664</v>
      </c>
      <c r="L49" s="469">
        <f t="shared" si="13"/>
        <v>0.90300000000000002</v>
      </c>
      <c r="M49" s="59" t="s">
        <v>33</v>
      </c>
      <c r="N49" s="37" t="s">
        <v>511</v>
      </c>
      <c r="O49" s="122">
        <f>VLOOKUP(N49,References!$B$7:$F$252,5,FALSE)</f>
        <v>36</v>
      </c>
      <c r="S49"/>
    </row>
    <row r="50" spans="1:19" x14ac:dyDescent="0.2">
      <c r="A50" s="868" t="s">
        <v>66</v>
      </c>
      <c r="B50" s="869" t="s">
        <v>67</v>
      </c>
      <c r="C50" s="832">
        <v>364.1</v>
      </c>
      <c r="D50" s="832" t="s">
        <v>68</v>
      </c>
      <c r="E50" s="149" t="s">
        <v>67</v>
      </c>
      <c r="F50" s="145" t="s">
        <v>68</v>
      </c>
      <c r="G50" s="58">
        <v>1.77</v>
      </c>
      <c r="H50" s="58" t="s">
        <v>565</v>
      </c>
      <c r="I50" s="58" t="s">
        <v>27</v>
      </c>
      <c r="J50" s="433">
        <f t="shared" ref="J50:J55" si="24">IF(H50="Pa",G50,IF(H50="kPa",G50*1000,IF(H50="log-Pa",10^G50,IF(H50="mm Hg",G50*133.322,0))))</f>
        <v>1770</v>
      </c>
      <c r="K50" s="178">
        <f t="shared" ref="K50:K55" si="25">IF(H50="Pa",LOG(G50),IF(H50="kPa",LOG(G50*1000),IF(H50="log-Pa",G50,IF(H50="mm Hg",LOG(G50*133.322),0))))</f>
        <v>3.2479732663618068</v>
      </c>
      <c r="L50" s="433">
        <f t="shared" ref="L50:L55" si="26">IF(H50="Pa",G50/133.322,IF(H50="kPa",(G50*1000)/133.322,IF(H50="log-Pa",(10^G50)/133.322,IF(H50="mm Hg",G50,0))))</f>
        <v>13.276128470920028</v>
      </c>
      <c r="M50" s="58">
        <v>25</v>
      </c>
      <c r="N50" s="30" t="s">
        <v>567</v>
      </c>
      <c r="O50" s="100">
        <f>VLOOKUP(N50,References!$B$7:$F$252,5,FALSE)</f>
        <v>68</v>
      </c>
      <c r="S50"/>
    </row>
    <row r="51" spans="1:19" x14ac:dyDescent="0.2">
      <c r="A51" s="868"/>
      <c r="B51" s="869"/>
      <c r="C51" s="832"/>
      <c r="D51" s="832"/>
      <c r="E51" s="149" t="s">
        <v>67</v>
      </c>
      <c r="F51" s="145" t="s">
        <v>68</v>
      </c>
      <c r="G51" s="350">
        <v>1.998</v>
      </c>
      <c r="H51" s="58" t="s">
        <v>565</v>
      </c>
      <c r="I51" s="58" t="s">
        <v>27</v>
      </c>
      <c r="J51" s="433">
        <f t="shared" si="24"/>
        <v>1998</v>
      </c>
      <c r="K51" s="178">
        <f t="shared" si="25"/>
        <v>3.3005954838899636</v>
      </c>
      <c r="L51" s="433">
        <f t="shared" si="26"/>
        <v>14.986273833275828</v>
      </c>
      <c r="M51" s="58">
        <v>86</v>
      </c>
      <c r="N51" s="30" t="s">
        <v>572</v>
      </c>
      <c r="O51" s="100">
        <f>VLOOKUP(N51,References!$B$7:$F$252,5,FALSE)</f>
        <v>119</v>
      </c>
      <c r="S51"/>
    </row>
    <row r="52" spans="1:19" x14ac:dyDescent="0.2">
      <c r="A52" s="868"/>
      <c r="B52" s="869"/>
      <c r="C52" s="832"/>
      <c r="D52" s="832"/>
      <c r="E52" s="149" t="s">
        <v>67</v>
      </c>
      <c r="F52" s="145" t="s">
        <v>68</v>
      </c>
      <c r="G52" s="58">
        <v>1.66</v>
      </c>
      <c r="H52" s="58" t="s">
        <v>568</v>
      </c>
      <c r="I52" s="58" t="s">
        <v>522</v>
      </c>
      <c r="J52" s="433">
        <f t="shared" si="24"/>
        <v>45.708818961487509</v>
      </c>
      <c r="K52" s="178">
        <f t="shared" si="25"/>
        <v>1.66</v>
      </c>
      <c r="L52" s="433">
        <f t="shared" si="26"/>
        <v>0.34284528406030146</v>
      </c>
      <c r="M52" s="58" t="s">
        <v>33</v>
      </c>
      <c r="N52" s="30" t="s">
        <v>570</v>
      </c>
      <c r="O52" s="100">
        <f>VLOOKUP(N52,References!$B$7:$F$252,5,FALSE)</f>
        <v>9</v>
      </c>
      <c r="S52"/>
    </row>
    <row r="53" spans="1:19" x14ac:dyDescent="0.2">
      <c r="A53" s="868"/>
      <c r="B53" s="869"/>
      <c r="C53" s="832"/>
      <c r="D53" s="832"/>
      <c r="E53" s="149" t="s">
        <v>67</v>
      </c>
      <c r="F53" s="145" t="s">
        <v>68</v>
      </c>
      <c r="G53" s="58">
        <v>2.4300000000000002</v>
      </c>
      <c r="H53" s="58" t="s">
        <v>568</v>
      </c>
      <c r="I53" s="58" t="s">
        <v>571</v>
      </c>
      <c r="J53" s="433">
        <f t="shared" si="24"/>
        <v>269.15348039269179</v>
      </c>
      <c r="K53" s="178">
        <f t="shared" si="25"/>
        <v>2.4300000000000002</v>
      </c>
      <c r="L53" s="433">
        <f t="shared" si="26"/>
        <v>2.0188227028749326</v>
      </c>
      <c r="M53" s="58" t="s">
        <v>33</v>
      </c>
      <c r="N53" s="30" t="s">
        <v>570</v>
      </c>
      <c r="O53" s="100">
        <f>VLOOKUP(N53,References!$B$7:$F$252,5,FALSE)</f>
        <v>9</v>
      </c>
      <c r="S53"/>
    </row>
    <row r="54" spans="1:19" x14ac:dyDescent="0.2">
      <c r="A54" s="868"/>
      <c r="B54" s="869"/>
      <c r="C54" s="832"/>
      <c r="D54" s="832"/>
      <c r="E54" s="149" t="s">
        <v>67</v>
      </c>
      <c r="F54" s="145" t="s">
        <v>68</v>
      </c>
      <c r="G54" s="58">
        <v>2.0099999999999998</v>
      </c>
      <c r="H54" s="58" t="s">
        <v>568</v>
      </c>
      <c r="I54" s="58" t="s">
        <v>513</v>
      </c>
      <c r="J54" s="433">
        <f t="shared" si="24"/>
        <v>102.32929922807544</v>
      </c>
      <c r="K54" s="178">
        <f t="shared" si="25"/>
        <v>2.0099999999999998</v>
      </c>
      <c r="L54" s="433">
        <f t="shared" si="26"/>
        <v>0.76753498468426395</v>
      </c>
      <c r="M54" s="58" t="s">
        <v>33</v>
      </c>
      <c r="N54" s="30" t="s">
        <v>570</v>
      </c>
      <c r="O54" s="100">
        <f>VLOOKUP(N54,References!$B$7:$F$252,5,FALSE)</f>
        <v>9</v>
      </c>
      <c r="S54"/>
    </row>
    <row r="55" spans="1:19" x14ac:dyDescent="0.2">
      <c r="A55" s="868"/>
      <c r="B55" s="869"/>
      <c r="C55" s="832"/>
      <c r="D55" s="832"/>
      <c r="E55" s="149" t="s">
        <v>67</v>
      </c>
      <c r="F55" s="145" t="s">
        <v>68</v>
      </c>
      <c r="G55" s="58">
        <v>1.32</v>
      </c>
      <c r="H55" s="58" t="s">
        <v>568</v>
      </c>
      <c r="I55" s="58" t="s">
        <v>27</v>
      </c>
      <c r="J55" s="433">
        <f t="shared" si="24"/>
        <v>20.8929613085404</v>
      </c>
      <c r="K55" s="178">
        <f t="shared" si="25"/>
        <v>1.32</v>
      </c>
      <c r="L55" s="433">
        <f t="shared" si="26"/>
        <v>0.15671053020912076</v>
      </c>
      <c r="M55" s="58" t="s">
        <v>33</v>
      </c>
      <c r="N55" s="30" t="s">
        <v>569</v>
      </c>
      <c r="O55" s="100">
        <f>VLOOKUP(N55,References!$B$7:$F$252,5,FALSE)</f>
        <v>53</v>
      </c>
      <c r="S55"/>
    </row>
    <row r="56" spans="1:19" x14ac:dyDescent="0.2">
      <c r="A56" s="868"/>
      <c r="B56" s="869"/>
      <c r="C56" s="832"/>
      <c r="D56" s="832"/>
      <c r="E56" s="149" t="s">
        <v>67</v>
      </c>
      <c r="F56" s="145" t="s">
        <v>68</v>
      </c>
      <c r="G56" s="58">
        <v>1.32</v>
      </c>
      <c r="H56" s="58" t="s">
        <v>568</v>
      </c>
      <c r="I56" s="58" t="s">
        <v>27</v>
      </c>
      <c r="J56" s="433">
        <f t="shared" si="14"/>
        <v>20.8929613085404</v>
      </c>
      <c r="K56" s="178">
        <f t="shared" si="12"/>
        <v>1.32</v>
      </c>
      <c r="L56" s="433">
        <f t="shared" si="13"/>
        <v>0.15671053020912076</v>
      </c>
      <c r="M56" s="58">
        <v>25</v>
      </c>
      <c r="N56" s="30" t="s">
        <v>520</v>
      </c>
      <c r="O56" s="100">
        <f>VLOOKUP(N56,References!$B$7:$F$252,5,FALSE)</f>
        <v>14</v>
      </c>
      <c r="S56"/>
    </row>
    <row r="57" spans="1:19" x14ac:dyDescent="0.2">
      <c r="A57" s="868"/>
      <c r="B57" s="869"/>
      <c r="C57" s="832"/>
      <c r="D57" s="832"/>
      <c r="E57" s="149" t="s">
        <v>67</v>
      </c>
      <c r="F57" s="145" t="s">
        <v>68</v>
      </c>
      <c r="G57" s="58">
        <v>1.58</v>
      </c>
      <c r="H57" s="58" t="s">
        <v>568</v>
      </c>
      <c r="I57" s="58" t="s">
        <v>519</v>
      </c>
      <c r="J57" s="433">
        <f t="shared" si="14"/>
        <v>38.018939632056139</v>
      </c>
      <c r="K57" s="178">
        <f t="shared" si="12"/>
        <v>1.58</v>
      </c>
      <c r="L57" s="433">
        <f t="shared" si="13"/>
        <v>0.28516628637476288</v>
      </c>
      <c r="M57" s="58">
        <v>25</v>
      </c>
      <c r="N57" s="30" t="s">
        <v>520</v>
      </c>
      <c r="O57" s="100">
        <f>VLOOKUP(N57,References!$B$7:$F$252,5,FALSE)</f>
        <v>14</v>
      </c>
      <c r="S57"/>
    </row>
    <row r="58" spans="1:19" x14ac:dyDescent="0.2">
      <c r="A58" s="868"/>
      <c r="B58" s="869"/>
      <c r="C58" s="832"/>
      <c r="D58" s="832"/>
      <c r="E58" s="149" t="s">
        <v>67</v>
      </c>
      <c r="F58" s="145" t="s">
        <v>68</v>
      </c>
      <c r="G58" s="58">
        <v>2.2000000000000002</v>
      </c>
      <c r="H58" s="58" t="s">
        <v>568</v>
      </c>
      <c r="I58" s="58" t="s">
        <v>522</v>
      </c>
      <c r="J58" s="433">
        <f t="shared" si="14"/>
        <v>158.48931924611153</v>
      </c>
      <c r="K58" s="178">
        <f t="shared" si="12"/>
        <v>2.2000000000000002</v>
      </c>
      <c r="L58" s="433">
        <f t="shared" si="13"/>
        <v>1.188770939875726</v>
      </c>
      <c r="M58" s="58" t="s">
        <v>33</v>
      </c>
      <c r="N58" s="30" t="s">
        <v>523</v>
      </c>
      <c r="O58" s="100">
        <f>VLOOKUP(N58,References!$B$7:$F$252,5,FALSE)</f>
        <v>127</v>
      </c>
      <c r="S58"/>
    </row>
    <row r="59" spans="1:19" x14ac:dyDescent="0.2">
      <c r="A59" s="868"/>
      <c r="B59" s="869"/>
      <c r="C59" s="832"/>
      <c r="D59" s="832"/>
      <c r="E59" s="149" t="s">
        <v>67</v>
      </c>
      <c r="F59" s="145" t="s">
        <v>68</v>
      </c>
      <c r="G59" s="58">
        <v>1.74</v>
      </c>
      <c r="H59" s="58" t="s">
        <v>568</v>
      </c>
      <c r="I59" s="58" t="s">
        <v>524</v>
      </c>
      <c r="J59" s="433">
        <f>IF(H59="Pa",G59,IF(H59="kPa",G59*1000,IF(H59="log-Pa",10^G59,IF(H59="mm Hg",G59*133.322,0))))</f>
        <v>54.95408738576247</v>
      </c>
      <c r="K59" s="178">
        <f>IF(H59="Pa",LOG(G59),IF(H59="kPa",LOG(G59*1000),IF(H59="log-Pa",G59,IF(H59="mm Hg",LOG(G59*133.322),0))))</f>
        <v>1.74</v>
      </c>
      <c r="L59" s="433">
        <f>IF(H59="Pa",G59/133.322,IF(H59="kPa",(G59*1000)/133.322,IF(H59="log-Pa",(10^G59)/133.322,IF(H59="mm Hg",G59,0))))</f>
        <v>0.41219069160200467</v>
      </c>
      <c r="M59" s="58">
        <v>25</v>
      </c>
      <c r="N59" s="30" t="s">
        <v>525</v>
      </c>
      <c r="O59" s="100">
        <f>VLOOKUP(N59,References!$B$7:$F$252,5,FALSE)</f>
        <v>61</v>
      </c>
      <c r="S59"/>
    </row>
    <row r="60" spans="1:19" x14ac:dyDescent="0.2">
      <c r="A60" s="868"/>
      <c r="B60" s="869"/>
      <c r="C60" s="832"/>
      <c r="D60" s="832"/>
      <c r="E60" s="149" t="s">
        <v>67</v>
      </c>
      <c r="F60" s="145" t="s">
        <v>68</v>
      </c>
      <c r="G60" s="350">
        <v>1.18</v>
      </c>
      <c r="H60" s="58" t="s">
        <v>568</v>
      </c>
      <c r="I60" s="58" t="s">
        <v>524</v>
      </c>
      <c r="J60" s="433">
        <f t="shared" ref="J60" si="27">IF(H60="Pa",G60,IF(H60="kPa",G60*1000,IF(H60="log-Pa",10^G60,IF(H60="mm Hg",G60*133.322,0))))</f>
        <v>15.135612484362087</v>
      </c>
      <c r="K60" s="178">
        <f t="shared" ref="K60" si="28">IF(H60="Pa",LOG(G60),IF(H60="kPa",LOG(G60*1000),IF(H60="log-Pa",G60,IF(H60="mm Hg",LOG(G60*133.322),0))))</f>
        <v>1.18</v>
      </c>
      <c r="L60" s="433">
        <f t="shared" ref="L60" si="29">IF(H60="Pa",G60/133.322,IF(H60="kPa",(G60*1000)/133.322,IF(H60="log-Pa",(10^G60)/133.322,IF(H60="mm Hg",G60,0))))</f>
        <v>0.11352674340590514</v>
      </c>
      <c r="M60" s="58">
        <v>25</v>
      </c>
      <c r="N60" s="30" t="s">
        <v>55</v>
      </c>
      <c r="O60" s="100">
        <f>VLOOKUP(N60,References!$B$7:$F$252,5,FALSE)</f>
        <v>150</v>
      </c>
      <c r="S60"/>
    </row>
    <row r="61" spans="1:19" x14ac:dyDescent="0.2">
      <c r="A61" s="868"/>
      <c r="B61" s="869"/>
      <c r="C61" s="832"/>
      <c r="D61" s="832"/>
      <c r="E61" s="149" t="s">
        <v>67</v>
      </c>
      <c r="F61" s="145" t="s">
        <v>68</v>
      </c>
      <c r="G61" s="350">
        <v>1</v>
      </c>
      <c r="H61" s="58" t="s">
        <v>568</v>
      </c>
      <c r="I61" s="58" t="s">
        <v>27</v>
      </c>
      <c r="J61" s="433">
        <f t="shared" ref="J61" si="30">IF(H61="Pa",G61,IF(H61="kPa",G61*1000,IF(H61="log-Pa",10^G61,IF(H61="mm Hg",G61*133.322,0))))</f>
        <v>10</v>
      </c>
      <c r="K61" s="178">
        <f t="shared" ref="K61" si="31">IF(H61="Pa",LOG(G61),IF(H61="kPa",LOG(G61*1000),IF(H61="log-Pa",G61,IF(H61="mm Hg",LOG(G61*133.322),0))))</f>
        <v>1</v>
      </c>
      <c r="L61" s="433">
        <f t="shared" ref="L61" si="32">IF(H61="Pa",G61/133.322,IF(H61="kPa",(G61*1000)/133.322,IF(H61="log-Pa",(10^G61)/133.322,IF(H61="mm Hg",G61,0))))</f>
        <v>7.5006375541921064E-2</v>
      </c>
      <c r="M61" s="58">
        <v>25</v>
      </c>
      <c r="N61" s="30" t="s">
        <v>55</v>
      </c>
      <c r="O61" s="100">
        <f>VLOOKUP(N61,References!$B$7:$F$252,5,FALSE)</f>
        <v>150</v>
      </c>
      <c r="S61"/>
    </row>
    <row r="62" spans="1:19" x14ac:dyDescent="0.2">
      <c r="A62" s="868"/>
      <c r="B62" s="869"/>
      <c r="C62" s="832"/>
      <c r="D62" s="832"/>
      <c r="E62" s="149" t="s">
        <v>67</v>
      </c>
      <c r="F62" s="145" t="s">
        <v>68</v>
      </c>
      <c r="G62" s="58">
        <v>0.6</v>
      </c>
      <c r="H62" s="58" t="s">
        <v>564</v>
      </c>
      <c r="I62" s="58" t="s">
        <v>512</v>
      </c>
      <c r="J62" s="433">
        <f t="shared" si="14"/>
        <v>79.993200000000002</v>
      </c>
      <c r="K62" s="178">
        <f t="shared" si="12"/>
        <v>1.9030530703920041</v>
      </c>
      <c r="L62" s="433">
        <f t="shared" si="13"/>
        <v>0.6</v>
      </c>
      <c r="M62" s="58" t="s">
        <v>33</v>
      </c>
      <c r="N62" s="30" t="s">
        <v>511</v>
      </c>
      <c r="O62" s="100">
        <f>VLOOKUP(N62,References!$B$7:$F$252,5,FALSE)</f>
        <v>36</v>
      </c>
      <c r="S62"/>
    </row>
    <row r="63" spans="1:19" x14ac:dyDescent="0.2">
      <c r="A63" s="868"/>
      <c r="B63" s="869"/>
      <c r="C63" s="832"/>
      <c r="D63" s="832"/>
      <c r="E63" s="149" t="s">
        <v>67</v>
      </c>
      <c r="F63" s="145" t="s">
        <v>68</v>
      </c>
      <c r="G63" s="58">
        <v>0.53900000000000003</v>
      </c>
      <c r="H63" s="58" t="s">
        <v>564</v>
      </c>
      <c r="I63" s="58" t="s">
        <v>514</v>
      </c>
      <c r="J63" s="433">
        <f t="shared" si="14"/>
        <v>71.860558000000012</v>
      </c>
      <c r="K63" s="178">
        <f t="shared" si="12"/>
        <v>1.8564905851950992</v>
      </c>
      <c r="L63" s="433">
        <f t="shared" si="13"/>
        <v>0.53900000000000003</v>
      </c>
      <c r="M63" s="58" t="s">
        <v>33</v>
      </c>
      <c r="N63" s="30" t="s">
        <v>511</v>
      </c>
      <c r="O63" s="100">
        <f>VLOOKUP(N63,References!$B$7:$F$252,5,FALSE)</f>
        <v>36</v>
      </c>
      <c r="S63"/>
    </row>
    <row r="64" spans="1:19" x14ac:dyDescent="0.2">
      <c r="A64" s="879"/>
      <c r="B64" s="851"/>
      <c r="C64" s="834"/>
      <c r="D64" s="834"/>
      <c r="E64" s="182" t="s">
        <v>67</v>
      </c>
      <c r="F64" s="239" t="s">
        <v>68</v>
      </c>
      <c r="G64" s="325">
        <v>6.6799999999999998E-2</v>
      </c>
      <c r="H64" s="59" t="s">
        <v>564</v>
      </c>
      <c r="I64" s="59" t="s">
        <v>515</v>
      </c>
      <c r="J64" s="469">
        <f t="shared" si="14"/>
        <v>8.9059095999999993</v>
      </c>
      <c r="K64" s="183">
        <f t="shared" si="12"/>
        <v>0.94967828248390607</v>
      </c>
      <c r="L64" s="469">
        <f t="shared" si="13"/>
        <v>6.6799999999999998E-2</v>
      </c>
      <c r="M64" s="59" t="s">
        <v>33</v>
      </c>
      <c r="N64" s="37" t="s">
        <v>511</v>
      </c>
      <c r="O64" s="122">
        <f>VLOOKUP(N64,References!$B$7:$F$252,5,FALSE)</f>
        <v>36</v>
      </c>
      <c r="S64"/>
    </row>
    <row r="65" spans="1:19" x14ac:dyDescent="0.2">
      <c r="A65" s="868" t="s">
        <v>77</v>
      </c>
      <c r="B65" s="869" t="s">
        <v>78</v>
      </c>
      <c r="C65" s="832">
        <v>414.1</v>
      </c>
      <c r="D65" s="832" t="s">
        <v>79</v>
      </c>
      <c r="E65" s="149" t="s">
        <v>78</v>
      </c>
      <c r="F65" s="145" t="s">
        <v>79</v>
      </c>
      <c r="G65" s="58">
        <v>1.72</v>
      </c>
      <c r="H65" s="58" t="s">
        <v>565</v>
      </c>
      <c r="I65" s="58" t="s">
        <v>27</v>
      </c>
      <c r="J65" s="433">
        <f t="shared" ref="J65:J76" si="33">IF(H65="Pa",G65,IF(H65="kPa",G65*1000,IF(H65="log-Pa",10^G65,IF(H65="mm Hg",G65*133.322,0))))</f>
        <v>1720</v>
      </c>
      <c r="K65" s="178">
        <f t="shared" ref="K65:K76" si="34">IF(H65="Pa",LOG(G65),IF(H65="kPa",LOG(G65*1000),IF(H65="log-Pa",G65,IF(H65="mm Hg",LOG(G65*133.322),0))))</f>
        <v>3.2355284469075487</v>
      </c>
      <c r="L65" s="433">
        <f t="shared" ref="L65:L76" si="35">IF(H65="Pa",G65/133.322,IF(H65="kPa",(G65*1000)/133.322,IF(H65="log-Pa",(10^G65)/133.322,IF(H65="mm Hg",G65,0))))</f>
        <v>12.901096593210422</v>
      </c>
      <c r="M65" s="58">
        <v>25</v>
      </c>
      <c r="N65" s="30" t="s">
        <v>567</v>
      </c>
      <c r="O65" s="100">
        <f>VLOOKUP(N65,References!$B$7:$F$252,5,FALSE)</f>
        <v>68</v>
      </c>
      <c r="S65"/>
    </row>
    <row r="66" spans="1:19" x14ac:dyDescent="0.2">
      <c r="A66" s="868"/>
      <c r="B66" s="869"/>
      <c r="C66" s="832"/>
      <c r="D66" s="832"/>
      <c r="E66" s="149" t="s">
        <v>78</v>
      </c>
      <c r="F66" s="145" t="s">
        <v>79</v>
      </c>
      <c r="G66" s="58">
        <v>70</v>
      </c>
      <c r="H66" s="58" t="s">
        <v>562</v>
      </c>
      <c r="I66" s="58" t="s">
        <v>33</v>
      </c>
      <c r="J66" s="433">
        <f t="shared" si="33"/>
        <v>70</v>
      </c>
      <c r="K66" s="178">
        <f t="shared" si="34"/>
        <v>1.8450980400142569</v>
      </c>
      <c r="L66" s="433">
        <f t="shared" si="35"/>
        <v>0.52504462879344749</v>
      </c>
      <c r="M66" s="58">
        <v>25</v>
      </c>
      <c r="N66" s="30" t="s">
        <v>528</v>
      </c>
      <c r="O66" s="100">
        <f>VLOOKUP(N66,References!$B$7:$F$252,5,FALSE)</f>
        <v>47</v>
      </c>
      <c r="S66"/>
    </row>
    <row r="67" spans="1:19" x14ac:dyDescent="0.2">
      <c r="A67" s="868"/>
      <c r="B67" s="869"/>
      <c r="C67" s="832"/>
      <c r="D67" s="832"/>
      <c r="E67" s="149" t="s">
        <v>78</v>
      </c>
      <c r="F67" s="145" t="s">
        <v>79</v>
      </c>
      <c r="G67" s="58">
        <v>10</v>
      </c>
      <c r="H67" s="58" t="s">
        <v>564</v>
      </c>
      <c r="I67" s="58" t="s">
        <v>27</v>
      </c>
      <c r="J67" s="433">
        <f t="shared" si="33"/>
        <v>1333.22</v>
      </c>
      <c r="K67" s="178">
        <f t="shared" si="34"/>
        <v>3.1249018200083603</v>
      </c>
      <c r="L67" s="433">
        <f t="shared" si="35"/>
        <v>10</v>
      </c>
      <c r="M67" s="58">
        <v>25</v>
      </c>
      <c r="N67" s="30" t="s">
        <v>82</v>
      </c>
      <c r="O67" s="100">
        <f>VLOOKUP(N67,References!$B$7:$F$252,5,FALSE)</f>
        <v>2</v>
      </c>
      <c r="S67"/>
    </row>
    <row r="68" spans="1:19" x14ac:dyDescent="0.2">
      <c r="A68" s="868"/>
      <c r="B68" s="869"/>
      <c r="C68" s="832"/>
      <c r="D68" s="832"/>
      <c r="E68" s="149" t="s">
        <v>78</v>
      </c>
      <c r="F68" s="145" t="s">
        <v>79</v>
      </c>
      <c r="G68" s="58">
        <v>0.128</v>
      </c>
      <c r="H68" s="58" t="s">
        <v>565</v>
      </c>
      <c r="I68" s="58" t="s">
        <v>27</v>
      </c>
      <c r="J68" s="433">
        <f t="shared" si="33"/>
        <v>128</v>
      </c>
      <c r="K68" s="178">
        <f t="shared" si="34"/>
        <v>2.1072099696478683</v>
      </c>
      <c r="L68" s="433">
        <f t="shared" si="35"/>
        <v>0.96008160693658962</v>
      </c>
      <c r="M68" s="58">
        <v>59.25</v>
      </c>
      <c r="N68" s="30" t="s">
        <v>573</v>
      </c>
      <c r="O68" s="100">
        <f>VLOOKUP(N68,References!$B$7:$F$252,5,FALSE)</f>
        <v>57</v>
      </c>
      <c r="S68"/>
    </row>
    <row r="69" spans="1:19" x14ac:dyDescent="0.2">
      <c r="A69" s="868"/>
      <c r="B69" s="869"/>
      <c r="C69" s="832"/>
      <c r="D69" s="832"/>
      <c r="E69" s="149" t="s">
        <v>78</v>
      </c>
      <c r="F69" s="145" t="s">
        <v>79</v>
      </c>
      <c r="G69" s="58">
        <v>4.1900000000000004</v>
      </c>
      <c r="H69" s="58" t="s">
        <v>562</v>
      </c>
      <c r="I69" s="58" t="s">
        <v>524</v>
      </c>
      <c r="J69" s="433">
        <f t="shared" si="33"/>
        <v>4.1900000000000004</v>
      </c>
      <c r="K69" s="178">
        <f t="shared" si="34"/>
        <v>0.62221402296629535</v>
      </c>
      <c r="L69" s="433">
        <f t="shared" si="35"/>
        <v>3.142767135206493E-2</v>
      </c>
      <c r="M69" s="58">
        <v>25</v>
      </c>
      <c r="N69" s="30" t="s">
        <v>573</v>
      </c>
      <c r="O69" s="100">
        <f>VLOOKUP(N69,References!$B$7:$F$252,5,FALSE)</f>
        <v>57</v>
      </c>
      <c r="S69"/>
    </row>
    <row r="70" spans="1:19" x14ac:dyDescent="0.2">
      <c r="A70" s="868"/>
      <c r="B70" s="869"/>
      <c r="C70" s="832"/>
      <c r="D70" s="832"/>
      <c r="E70" s="149" t="s">
        <v>78</v>
      </c>
      <c r="F70" s="145" t="s">
        <v>79</v>
      </c>
      <c r="G70" s="58">
        <v>0.62</v>
      </c>
      <c r="H70" s="58" t="s">
        <v>568</v>
      </c>
      <c r="I70" s="58" t="s">
        <v>27</v>
      </c>
      <c r="J70" s="433">
        <f t="shared" si="33"/>
        <v>4.1686938347033546</v>
      </c>
      <c r="K70" s="178">
        <f t="shared" si="34"/>
        <v>0.62</v>
      </c>
      <c r="L70" s="433">
        <f t="shared" si="35"/>
        <v>3.1267861528505081E-2</v>
      </c>
      <c r="M70" s="58">
        <v>25</v>
      </c>
      <c r="N70" s="30" t="s">
        <v>570</v>
      </c>
      <c r="O70" s="100">
        <f>VLOOKUP(N70,References!$B$7:$F$252,5,FALSE)</f>
        <v>9</v>
      </c>
      <c r="S70"/>
    </row>
    <row r="71" spans="1:19" x14ac:dyDescent="0.2">
      <c r="A71" s="868"/>
      <c r="B71" s="869"/>
      <c r="C71" s="832"/>
      <c r="D71" s="832"/>
      <c r="E71" s="149" t="s">
        <v>78</v>
      </c>
      <c r="F71" s="145" t="s">
        <v>79</v>
      </c>
      <c r="G71" s="58">
        <v>-0.5</v>
      </c>
      <c r="H71" s="58" t="s">
        <v>568</v>
      </c>
      <c r="I71" s="58" t="s">
        <v>522</v>
      </c>
      <c r="J71" s="433">
        <f t="shared" si="33"/>
        <v>0.31622776601683794</v>
      </c>
      <c r="K71" s="178">
        <f t="shared" si="34"/>
        <v>-0.5</v>
      </c>
      <c r="L71" s="433">
        <f t="shared" si="35"/>
        <v>2.3719098574641688E-3</v>
      </c>
      <c r="M71" s="58">
        <v>25</v>
      </c>
      <c r="N71" s="30" t="s">
        <v>570</v>
      </c>
      <c r="O71" s="100">
        <f>VLOOKUP(N71,References!$B$7:$F$252,5,FALSE)</f>
        <v>9</v>
      </c>
      <c r="S71"/>
    </row>
    <row r="72" spans="1:19" x14ac:dyDescent="0.2">
      <c r="A72" s="868"/>
      <c r="B72" s="869"/>
      <c r="C72" s="832"/>
      <c r="D72" s="832"/>
      <c r="E72" s="149" t="s">
        <v>78</v>
      </c>
      <c r="F72" s="145" t="s">
        <v>79</v>
      </c>
      <c r="G72" s="58">
        <v>-1.52</v>
      </c>
      <c r="H72" s="58" t="s">
        <v>568</v>
      </c>
      <c r="I72" s="58" t="s">
        <v>571</v>
      </c>
      <c r="J72" s="433">
        <f t="shared" si="33"/>
        <v>3.0199517204020147E-2</v>
      </c>
      <c r="K72" s="178">
        <f t="shared" si="34"/>
        <v>-1.52</v>
      </c>
      <c r="L72" s="433">
        <f t="shared" si="35"/>
        <v>2.2651563285894412E-4</v>
      </c>
      <c r="M72" s="58">
        <v>25</v>
      </c>
      <c r="N72" s="30" t="s">
        <v>570</v>
      </c>
      <c r="O72" s="100">
        <f>VLOOKUP(N72,References!$B$7:$F$252,5,FALSE)</f>
        <v>9</v>
      </c>
      <c r="S72"/>
    </row>
    <row r="73" spans="1:19" x14ac:dyDescent="0.2">
      <c r="A73" s="868"/>
      <c r="B73" s="869"/>
      <c r="C73" s="832"/>
      <c r="D73" s="832"/>
      <c r="E73" s="149" t="s">
        <v>78</v>
      </c>
      <c r="F73" s="145" t="s">
        <v>79</v>
      </c>
      <c r="G73" s="58">
        <v>-0.98</v>
      </c>
      <c r="H73" s="58" t="s">
        <v>568</v>
      </c>
      <c r="I73" s="58" t="s">
        <v>513</v>
      </c>
      <c r="J73" s="433">
        <f t="shared" si="33"/>
        <v>0.10471285480508996</v>
      </c>
      <c r="K73" s="178">
        <f t="shared" si="34"/>
        <v>-0.98</v>
      </c>
      <c r="L73" s="433">
        <f t="shared" si="35"/>
        <v>7.8541317115772308E-4</v>
      </c>
      <c r="M73" s="58">
        <v>25</v>
      </c>
      <c r="N73" s="30" t="s">
        <v>570</v>
      </c>
      <c r="O73" s="100">
        <f>VLOOKUP(N73,References!$B$7:$F$252,5,FALSE)</f>
        <v>9</v>
      </c>
      <c r="S73"/>
    </row>
    <row r="74" spans="1:19" x14ac:dyDescent="0.2">
      <c r="A74" s="868"/>
      <c r="B74" s="869"/>
      <c r="C74" s="832"/>
      <c r="D74" s="832"/>
      <c r="E74" s="149" t="s">
        <v>78</v>
      </c>
      <c r="F74" s="145" t="s">
        <v>79</v>
      </c>
      <c r="G74" s="58">
        <v>5.2</v>
      </c>
      <c r="H74" s="58" t="s">
        <v>562</v>
      </c>
      <c r="I74" s="58" t="s">
        <v>27</v>
      </c>
      <c r="J74" s="433">
        <f t="shared" si="33"/>
        <v>5.2</v>
      </c>
      <c r="K74" s="178">
        <f t="shared" si="34"/>
        <v>0.71600334363479923</v>
      </c>
      <c r="L74" s="433">
        <f t="shared" si="35"/>
        <v>3.9003315281798956E-2</v>
      </c>
      <c r="M74" s="58">
        <v>27.1</v>
      </c>
      <c r="N74" s="30" t="s">
        <v>574</v>
      </c>
      <c r="O74" s="100">
        <f>VLOOKUP(N74,References!$B$7:$F$252,5,FALSE)</f>
        <v>12</v>
      </c>
      <c r="S74"/>
    </row>
    <row r="75" spans="1:19" x14ac:dyDescent="0.2">
      <c r="A75" s="868"/>
      <c r="B75" s="869"/>
      <c r="C75" s="832"/>
      <c r="D75" s="832"/>
      <c r="E75" s="149" t="s">
        <v>78</v>
      </c>
      <c r="F75" s="145" t="s">
        <v>79</v>
      </c>
      <c r="G75" s="58">
        <v>3.3</v>
      </c>
      <c r="H75" s="58" t="s">
        <v>562</v>
      </c>
      <c r="I75" s="58" t="s">
        <v>524</v>
      </c>
      <c r="J75" s="433">
        <f t="shared" si="33"/>
        <v>3.3</v>
      </c>
      <c r="K75" s="178">
        <f t="shared" si="34"/>
        <v>0.51851393987788741</v>
      </c>
      <c r="L75" s="433">
        <f t="shared" si="35"/>
        <v>2.4752103928833948E-2</v>
      </c>
      <c r="M75" s="58">
        <v>25</v>
      </c>
      <c r="N75" s="30" t="s">
        <v>574</v>
      </c>
      <c r="O75" s="100">
        <f>VLOOKUP(N75,References!$B$7:$F$252,5,FALSE)</f>
        <v>12</v>
      </c>
      <c r="S75"/>
    </row>
    <row r="76" spans="1:19" x14ac:dyDescent="0.2">
      <c r="A76" s="868"/>
      <c r="B76" s="869"/>
      <c r="C76" s="832"/>
      <c r="D76" s="832"/>
      <c r="E76" s="149" t="s">
        <v>78</v>
      </c>
      <c r="F76" s="145" t="s">
        <v>79</v>
      </c>
      <c r="G76" s="58">
        <v>1.95</v>
      </c>
      <c r="H76" s="58" t="s">
        <v>568</v>
      </c>
      <c r="I76" s="58" t="s">
        <v>27</v>
      </c>
      <c r="J76" s="433">
        <f t="shared" si="33"/>
        <v>89.125093813374562</v>
      </c>
      <c r="K76" s="178">
        <f t="shared" si="34"/>
        <v>1.95</v>
      </c>
      <c r="L76" s="433">
        <f t="shared" si="35"/>
        <v>0.66849502567749175</v>
      </c>
      <c r="M76" s="58" t="s">
        <v>33</v>
      </c>
      <c r="N76" s="30" t="s">
        <v>569</v>
      </c>
      <c r="O76" s="100">
        <f>VLOOKUP(N76,References!$B$7:$F$252,5,FALSE)</f>
        <v>53</v>
      </c>
      <c r="S76"/>
    </row>
    <row r="77" spans="1:19" x14ac:dyDescent="0.2">
      <c r="A77" s="868"/>
      <c r="B77" s="869"/>
      <c r="C77" s="832"/>
      <c r="D77" s="832"/>
      <c r="E77" s="149" t="s">
        <v>78</v>
      </c>
      <c r="F77" s="145" t="s">
        <v>79</v>
      </c>
      <c r="G77" s="58">
        <v>0.62</v>
      </c>
      <c r="H77" s="58" t="s">
        <v>568</v>
      </c>
      <c r="I77" s="58" t="s">
        <v>27</v>
      </c>
      <c r="J77" s="433">
        <f t="shared" si="14"/>
        <v>4.1686938347033546</v>
      </c>
      <c r="K77" s="178">
        <f t="shared" si="12"/>
        <v>0.62</v>
      </c>
      <c r="L77" s="433">
        <f t="shared" si="13"/>
        <v>3.1267861528505081E-2</v>
      </c>
      <c r="M77" s="58">
        <v>25</v>
      </c>
      <c r="N77" s="30" t="s">
        <v>520</v>
      </c>
      <c r="O77" s="100">
        <f>VLOOKUP(N77,References!$B$7:$F$252,5,FALSE)</f>
        <v>14</v>
      </c>
      <c r="S77"/>
    </row>
    <row r="78" spans="1:19" x14ac:dyDescent="0.2">
      <c r="A78" s="868"/>
      <c r="B78" s="869"/>
      <c r="C78" s="832"/>
      <c r="D78" s="832"/>
      <c r="E78" s="149" t="s">
        <v>78</v>
      </c>
      <c r="F78" s="145" t="s">
        <v>79</v>
      </c>
      <c r="G78" s="58">
        <v>1.08</v>
      </c>
      <c r="H78" s="58" t="s">
        <v>568</v>
      </c>
      <c r="I78" s="58" t="s">
        <v>519</v>
      </c>
      <c r="J78" s="433">
        <f t="shared" si="14"/>
        <v>12.022644346174133</v>
      </c>
      <c r="K78" s="178">
        <f t="shared" si="12"/>
        <v>1.08</v>
      </c>
      <c r="L78" s="433">
        <f t="shared" si="13"/>
        <v>9.0177497683609095E-2</v>
      </c>
      <c r="M78" s="58">
        <v>25</v>
      </c>
      <c r="N78" s="30" t="s">
        <v>520</v>
      </c>
      <c r="O78" s="100">
        <f>VLOOKUP(N78,References!$B$7:$F$252,5,FALSE)</f>
        <v>14</v>
      </c>
      <c r="S78"/>
    </row>
    <row r="79" spans="1:19" x14ac:dyDescent="0.2">
      <c r="A79" s="868"/>
      <c r="B79" s="869"/>
      <c r="C79" s="832"/>
      <c r="D79" s="832"/>
      <c r="E79" s="149" t="s">
        <v>78</v>
      </c>
      <c r="F79" s="145" t="s">
        <v>79</v>
      </c>
      <c r="G79" s="58">
        <v>1.73</v>
      </c>
      <c r="H79" s="58" t="s">
        <v>568</v>
      </c>
      <c r="I79" s="58" t="s">
        <v>522</v>
      </c>
      <c r="J79" s="433">
        <f>IF(H79="Pa",G79,IF(H79="kPa",G79*1000,IF(H79="log-Pa",10^G79,IF(H79="mm Hg",G79*133.322,0))))</f>
        <v>53.703179637025293</v>
      </c>
      <c r="K79" s="178">
        <f>IF(H79="Pa",LOG(G79),IF(H79="kPa",LOG(G79*1000),IF(H79="log-Pa",G79,IF(H79="mm Hg",LOG(G79*133.322),0))))</f>
        <v>1.73</v>
      </c>
      <c r="L79" s="433">
        <f>IF(H79="Pa",G79/133.322,IF(H79="kPa",(G79*1000)/133.322,IF(H79="log-Pa",(10^G79)/133.322,IF(H79="mm Hg",G79,0))))</f>
        <v>0.40280808596499673</v>
      </c>
      <c r="M79" s="58" t="s">
        <v>33</v>
      </c>
      <c r="N79" s="30" t="s">
        <v>523</v>
      </c>
      <c r="O79" s="100">
        <f>VLOOKUP(N79,References!$B$7:$F$252,5,FALSE)</f>
        <v>127</v>
      </c>
      <c r="S79"/>
    </row>
    <row r="80" spans="1:19" x14ac:dyDescent="0.2">
      <c r="A80" s="868"/>
      <c r="B80" s="869"/>
      <c r="C80" s="832"/>
      <c r="D80" s="832"/>
      <c r="E80" s="149" t="s">
        <v>78</v>
      </c>
      <c r="F80" s="145" t="s">
        <v>79</v>
      </c>
      <c r="G80" s="58">
        <v>1.51</v>
      </c>
      <c r="H80" s="58" t="s">
        <v>568</v>
      </c>
      <c r="I80" s="58" t="s">
        <v>524</v>
      </c>
      <c r="J80" s="433">
        <f t="shared" si="14"/>
        <v>32.359365692962832</v>
      </c>
      <c r="K80" s="178">
        <f t="shared" si="12"/>
        <v>1.51</v>
      </c>
      <c r="L80" s="433">
        <f t="shared" si="13"/>
        <v>0.2427158735464727</v>
      </c>
      <c r="M80" s="58">
        <v>25</v>
      </c>
      <c r="N80" s="30" t="s">
        <v>525</v>
      </c>
      <c r="O80" s="100">
        <f>VLOOKUP(N80,References!$B$7:$F$252,5,FALSE)</f>
        <v>61</v>
      </c>
      <c r="S80"/>
    </row>
    <row r="81" spans="1:19" x14ac:dyDescent="0.2">
      <c r="A81" s="868"/>
      <c r="B81" s="869"/>
      <c r="C81" s="832"/>
      <c r="D81" s="832"/>
      <c r="E81" s="149" t="s">
        <v>78</v>
      </c>
      <c r="F81" s="145" t="s">
        <v>79</v>
      </c>
      <c r="G81" s="350">
        <v>0.37</v>
      </c>
      <c r="H81" s="58" t="s">
        <v>568</v>
      </c>
      <c r="I81" s="58" t="s">
        <v>524</v>
      </c>
      <c r="J81" s="433">
        <f t="shared" ref="J81:J82" si="36">IF(H81="Pa",G81,IF(H81="kPa",G81*1000,IF(H81="log-Pa",10^G81,IF(H81="mm Hg",G81*133.322,0))))</f>
        <v>2.344228815319922</v>
      </c>
      <c r="K81" s="178">
        <f t="shared" ref="K81:K82" si="37">IF(H81="Pa",LOG(G81),IF(H81="kPa",LOG(G81*1000),IF(H81="log-Pa",G81,IF(H81="mm Hg",LOG(G81*133.322),0))))</f>
        <v>0.37</v>
      </c>
      <c r="L81" s="433">
        <f t="shared" ref="L81:L82" si="38">IF(H81="Pa",G81/133.322,IF(H81="kPa",(G81*1000)/133.322,IF(H81="log-Pa",(10^G81)/133.322,IF(H81="mm Hg",G81,0))))</f>
        <v>1.7583210687807879E-2</v>
      </c>
      <c r="M81" s="58">
        <v>25</v>
      </c>
      <c r="N81" s="30" t="s">
        <v>55</v>
      </c>
      <c r="O81" s="100">
        <f>VLOOKUP(N81,References!$B$7:$F$252,5,FALSE)</f>
        <v>150</v>
      </c>
      <c r="S81"/>
    </row>
    <row r="82" spans="1:19" x14ac:dyDescent="0.2">
      <c r="A82" s="868"/>
      <c r="B82" s="869"/>
      <c r="C82" s="832"/>
      <c r="D82" s="832"/>
      <c r="E82" s="149" t="s">
        <v>78</v>
      </c>
      <c r="F82" s="145" t="s">
        <v>79</v>
      </c>
      <c r="G82" s="350">
        <v>0.31</v>
      </c>
      <c r="H82" s="58" t="s">
        <v>568</v>
      </c>
      <c r="I82" s="58" t="s">
        <v>27</v>
      </c>
      <c r="J82" s="433">
        <f t="shared" si="36"/>
        <v>2.0417379446695296</v>
      </c>
      <c r="K82" s="178">
        <f t="shared" si="37"/>
        <v>0.31</v>
      </c>
      <c r="L82" s="433">
        <f t="shared" si="38"/>
        <v>1.5314336303607278E-2</v>
      </c>
      <c r="M82" s="58">
        <v>25</v>
      </c>
      <c r="N82" s="30" t="s">
        <v>55</v>
      </c>
      <c r="O82" s="100">
        <f>VLOOKUP(N82,References!$B$7:$F$252,5,FALSE)</f>
        <v>150</v>
      </c>
      <c r="S82"/>
    </row>
    <row r="83" spans="1:19" x14ac:dyDescent="0.2">
      <c r="A83" s="868"/>
      <c r="B83" s="869"/>
      <c r="C83" s="832"/>
      <c r="D83" s="832"/>
      <c r="E83" s="149" t="s">
        <v>78</v>
      </c>
      <c r="F83" s="145" t="s">
        <v>79</v>
      </c>
      <c r="G83" s="350">
        <v>0.34499999999999997</v>
      </c>
      <c r="H83" s="58" t="s">
        <v>564</v>
      </c>
      <c r="I83" s="58" t="s">
        <v>512</v>
      </c>
      <c r="J83" s="433">
        <f t="shared" si="14"/>
        <v>45.996089999999995</v>
      </c>
      <c r="K83" s="178">
        <f t="shared" si="12"/>
        <v>1.6627209150816344</v>
      </c>
      <c r="L83" s="433">
        <f t="shared" si="13"/>
        <v>0.34499999999999997</v>
      </c>
      <c r="M83" s="58" t="s">
        <v>33</v>
      </c>
      <c r="N83" s="30" t="s">
        <v>511</v>
      </c>
      <c r="O83" s="100">
        <f>VLOOKUP(N83,References!$B$7:$F$252,5,FALSE)</f>
        <v>36</v>
      </c>
      <c r="S83"/>
    </row>
    <row r="84" spans="1:19" x14ac:dyDescent="0.2">
      <c r="A84" s="868"/>
      <c r="B84" s="869"/>
      <c r="C84" s="832"/>
      <c r="D84" s="832"/>
      <c r="E84" s="149" t="s">
        <v>78</v>
      </c>
      <c r="F84" s="145" t="s">
        <v>79</v>
      </c>
      <c r="G84" s="350">
        <v>0.27400000000000002</v>
      </c>
      <c r="H84" s="58" t="s">
        <v>564</v>
      </c>
      <c r="I84" s="58" t="s">
        <v>514</v>
      </c>
      <c r="J84" s="433">
        <f t="shared" si="14"/>
        <v>36.530228000000001</v>
      </c>
      <c r="K84" s="178">
        <f t="shared" si="12"/>
        <v>1.5626523828287484</v>
      </c>
      <c r="L84" s="433">
        <f t="shared" si="13"/>
        <v>0.27400000000000002</v>
      </c>
      <c r="M84" s="58" t="s">
        <v>33</v>
      </c>
      <c r="N84" s="30" t="s">
        <v>511</v>
      </c>
      <c r="O84" s="100">
        <f>VLOOKUP(N84,References!$B$7:$F$252,5,FALSE)</f>
        <v>36</v>
      </c>
      <c r="S84"/>
    </row>
    <row r="85" spans="1:19" x14ac:dyDescent="0.2">
      <c r="A85" s="879"/>
      <c r="B85" s="851"/>
      <c r="C85" s="834"/>
      <c r="D85" s="834"/>
      <c r="E85" s="182" t="s">
        <v>78</v>
      </c>
      <c r="F85" s="239" t="s">
        <v>79</v>
      </c>
      <c r="G85" s="326">
        <v>0.111</v>
      </c>
      <c r="H85" s="59" t="s">
        <v>564</v>
      </c>
      <c r="I85" s="59" t="s">
        <v>515</v>
      </c>
      <c r="J85" s="469">
        <f t="shared" si="14"/>
        <v>14.798742000000001</v>
      </c>
      <c r="K85" s="183">
        <f t="shared" si="12"/>
        <v>1.1702247987950178</v>
      </c>
      <c r="L85" s="469">
        <f t="shared" si="13"/>
        <v>0.111</v>
      </c>
      <c r="M85" s="59" t="s">
        <v>33</v>
      </c>
      <c r="N85" s="37" t="s">
        <v>511</v>
      </c>
      <c r="O85" s="122">
        <f>VLOOKUP(N85,References!$B$7:$F$252,5,FALSE)</f>
        <v>36</v>
      </c>
      <c r="S85"/>
    </row>
    <row r="86" spans="1:19" x14ac:dyDescent="0.2">
      <c r="A86" s="867" t="s">
        <v>86</v>
      </c>
      <c r="B86" s="850" t="s">
        <v>87</v>
      </c>
      <c r="C86" s="833">
        <v>464.1</v>
      </c>
      <c r="D86" s="833" t="s">
        <v>88</v>
      </c>
      <c r="E86" s="150" t="s">
        <v>87</v>
      </c>
      <c r="F86" s="151" t="s">
        <v>88</v>
      </c>
      <c r="G86" s="58">
        <v>1.1200000000000001</v>
      </c>
      <c r="H86" s="58" t="s">
        <v>565</v>
      </c>
      <c r="I86" s="58" t="s">
        <v>27</v>
      </c>
      <c r="J86" s="433">
        <f t="shared" ref="J86:J92" si="39">IF(H86="Pa",G86,IF(H86="kPa",G86*1000,IF(H86="log-Pa",10^G86,IF(H86="mm Hg",G86*133.322,0))))</f>
        <v>1120</v>
      </c>
      <c r="K86" s="178">
        <f t="shared" ref="K86:K92" si="40">IF(H86="Pa",LOG(G86),IF(H86="kPa",LOG(G86*1000),IF(H86="log-Pa",G86,IF(H86="mm Hg",LOG(G86*133.322),0))))</f>
        <v>3.0492180226701815</v>
      </c>
      <c r="L86" s="433">
        <f t="shared" ref="L86:L92" si="41">IF(H86="Pa",G86/133.322,IF(H86="kPa",(G86*1000)/133.322,IF(H86="log-Pa",(10^G86)/133.322,IF(H86="mm Hg",G86,0))))</f>
        <v>8.4007140606951598</v>
      </c>
      <c r="M86" s="58">
        <v>99.63</v>
      </c>
      <c r="N86" s="30" t="s">
        <v>573</v>
      </c>
      <c r="O86" s="100">
        <f>VLOOKUP(N86,References!$B$7:$F$252,5,FALSE)</f>
        <v>57</v>
      </c>
      <c r="S86"/>
    </row>
    <row r="87" spans="1:19" x14ac:dyDescent="0.2">
      <c r="A87" s="868"/>
      <c r="B87" s="869"/>
      <c r="C87" s="832"/>
      <c r="D87" s="832"/>
      <c r="E87" s="149" t="s">
        <v>87</v>
      </c>
      <c r="F87" s="145" t="s">
        <v>88</v>
      </c>
      <c r="G87" s="58">
        <v>1.27</v>
      </c>
      <c r="H87" s="58" t="s">
        <v>562</v>
      </c>
      <c r="I87" s="58" t="s">
        <v>524</v>
      </c>
      <c r="J87" s="433">
        <f t="shared" si="39"/>
        <v>1.27</v>
      </c>
      <c r="K87" s="178">
        <f t="shared" si="40"/>
        <v>0.10380372095595687</v>
      </c>
      <c r="L87" s="433">
        <f t="shared" si="41"/>
        <v>9.5258096938239754E-3</v>
      </c>
      <c r="M87" s="58">
        <v>25</v>
      </c>
      <c r="N87" s="30" t="s">
        <v>573</v>
      </c>
      <c r="O87" s="100">
        <f>VLOOKUP(N87,References!$B$7:$F$252,5,FALSE)</f>
        <v>57</v>
      </c>
      <c r="S87"/>
    </row>
    <row r="88" spans="1:19" x14ac:dyDescent="0.2">
      <c r="A88" s="868"/>
      <c r="B88" s="869"/>
      <c r="C88" s="832"/>
      <c r="D88" s="832"/>
      <c r="E88" s="149" t="s">
        <v>87</v>
      </c>
      <c r="F88" s="145" t="s">
        <v>88</v>
      </c>
      <c r="G88" s="58">
        <v>0.1</v>
      </c>
      <c r="H88" s="58" t="s">
        <v>568</v>
      </c>
      <c r="I88" s="58" t="s">
        <v>27</v>
      </c>
      <c r="J88" s="433">
        <f t="shared" si="39"/>
        <v>1.2589254117941673</v>
      </c>
      <c r="K88" s="178">
        <f t="shared" si="40"/>
        <v>0.1</v>
      </c>
      <c r="L88" s="433">
        <f t="shared" si="41"/>
        <v>9.4427432216300927E-3</v>
      </c>
      <c r="M88" s="58">
        <v>25</v>
      </c>
      <c r="N88" s="30" t="s">
        <v>570</v>
      </c>
      <c r="O88" s="100">
        <f>VLOOKUP(N88,References!$B$7:$F$252,5,FALSE)</f>
        <v>9</v>
      </c>
      <c r="S88"/>
    </row>
    <row r="89" spans="1:19" x14ac:dyDescent="0.2">
      <c r="A89" s="868"/>
      <c r="B89" s="869"/>
      <c r="C89" s="832"/>
      <c r="D89" s="832"/>
      <c r="E89" s="149" t="s">
        <v>87</v>
      </c>
      <c r="F89" s="145" t="s">
        <v>88</v>
      </c>
      <c r="G89" s="58">
        <v>-0.59</v>
      </c>
      <c r="H89" s="58" t="s">
        <v>568</v>
      </c>
      <c r="I89" s="58" t="s">
        <v>522</v>
      </c>
      <c r="J89" s="433">
        <f t="shared" si="39"/>
        <v>0.25703957827688634</v>
      </c>
      <c r="K89" s="178">
        <f t="shared" si="40"/>
        <v>-0.59</v>
      </c>
      <c r="L89" s="433">
        <f t="shared" si="41"/>
        <v>1.9279607137373152E-3</v>
      </c>
      <c r="M89" s="58">
        <v>25</v>
      </c>
      <c r="N89" s="30" t="s">
        <v>570</v>
      </c>
      <c r="O89" s="100">
        <f>VLOOKUP(N89,References!$B$7:$F$252,5,FALSE)</f>
        <v>9</v>
      </c>
      <c r="S89"/>
    </row>
    <row r="90" spans="1:19" x14ac:dyDescent="0.2">
      <c r="A90" s="868"/>
      <c r="B90" s="869"/>
      <c r="C90" s="832"/>
      <c r="D90" s="832"/>
      <c r="E90" s="149" t="s">
        <v>87</v>
      </c>
      <c r="F90" s="145" t="s">
        <v>88</v>
      </c>
      <c r="G90" s="58">
        <v>-1.78</v>
      </c>
      <c r="H90" s="58" t="s">
        <v>568</v>
      </c>
      <c r="I90" s="58" t="s">
        <v>571</v>
      </c>
      <c r="J90" s="433">
        <f t="shared" si="39"/>
        <v>1.6595869074375592E-2</v>
      </c>
      <c r="K90" s="178">
        <f t="shared" si="40"/>
        <v>-1.78</v>
      </c>
      <c r="L90" s="433">
        <f t="shared" si="41"/>
        <v>1.2447959882371694E-4</v>
      </c>
      <c r="M90" s="58">
        <v>25</v>
      </c>
      <c r="N90" s="30" t="s">
        <v>570</v>
      </c>
      <c r="O90" s="100">
        <f>VLOOKUP(N90,References!$B$7:$F$252,5,FALSE)</f>
        <v>9</v>
      </c>
      <c r="S90"/>
    </row>
    <row r="91" spans="1:19" x14ac:dyDescent="0.2">
      <c r="A91" s="868"/>
      <c r="B91" s="869"/>
      <c r="C91" s="832"/>
      <c r="D91" s="832"/>
      <c r="E91" s="149" t="s">
        <v>87</v>
      </c>
      <c r="F91" s="145" t="s">
        <v>88</v>
      </c>
      <c r="G91" s="58">
        <v>-1.1000000000000001</v>
      </c>
      <c r="H91" s="58" t="s">
        <v>568</v>
      </c>
      <c r="I91" s="58" t="s">
        <v>513</v>
      </c>
      <c r="J91" s="433">
        <f t="shared" si="39"/>
        <v>7.9432823472428096E-2</v>
      </c>
      <c r="K91" s="178">
        <f t="shared" si="40"/>
        <v>-1.1000000000000001</v>
      </c>
      <c r="L91" s="433">
        <f t="shared" si="41"/>
        <v>5.9579681877280639E-4</v>
      </c>
      <c r="M91" s="58">
        <v>25</v>
      </c>
      <c r="N91" s="30" t="s">
        <v>570</v>
      </c>
      <c r="O91" s="100">
        <f>VLOOKUP(N91,References!$B$7:$F$252,5,FALSE)</f>
        <v>9</v>
      </c>
      <c r="S91"/>
    </row>
    <row r="92" spans="1:19" x14ac:dyDescent="0.2">
      <c r="A92" s="868"/>
      <c r="B92" s="869"/>
      <c r="C92" s="832"/>
      <c r="D92" s="832"/>
      <c r="E92" s="149" t="s">
        <v>87</v>
      </c>
      <c r="F92" s="145" t="s">
        <v>88</v>
      </c>
      <c r="G92" s="58">
        <v>2.6</v>
      </c>
      <c r="H92" s="58" t="s">
        <v>568</v>
      </c>
      <c r="I92" s="58" t="s">
        <v>27</v>
      </c>
      <c r="J92" s="433">
        <f t="shared" si="39"/>
        <v>398.10717055349761</v>
      </c>
      <c r="K92" s="178">
        <f t="shared" si="40"/>
        <v>2.6</v>
      </c>
      <c r="L92" s="433">
        <f t="shared" si="41"/>
        <v>2.9860575940467258</v>
      </c>
      <c r="M92" s="58" t="s">
        <v>33</v>
      </c>
      <c r="N92" s="30" t="s">
        <v>569</v>
      </c>
      <c r="O92" s="100">
        <f>VLOOKUP(N92,References!$B$7:$F$252,5,FALSE)</f>
        <v>53</v>
      </c>
      <c r="S92"/>
    </row>
    <row r="93" spans="1:19" x14ac:dyDescent="0.2">
      <c r="A93" s="868"/>
      <c r="B93" s="869"/>
      <c r="C93" s="832"/>
      <c r="D93" s="832"/>
      <c r="E93" s="149" t="s">
        <v>87</v>
      </c>
      <c r="F93" s="145" t="s">
        <v>88</v>
      </c>
      <c r="G93" s="58">
        <v>1.27</v>
      </c>
      <c r="H93" s="58" t="s">
        <v>568</v>
      </c>
      <c r="I93" s="58" t="s">
        <v>522</v>
      </c>
      <c r="J93" s="433">
        <f t="shared" ref="J93:J144" si="42">IF(H93="Pa",G93,IF(H93="kPa",G93*1000,IF(H93="log-Pa",10^G93,IF(H93="mm Hg",G93*133.322,0))))</f>
        <v>18.62087136662868</v>
      </c>
      <c r="K93" s="178">
        <f t="shared" ref="K93:K144" si="43">IF(H93="Pa",LOG(G93),IF(H93="kPa",LOG(G93*1000),IF(H93="log-Pa",G93,IF(H93="mm Hg",LOG(G93*133.322),0))))</f>
        <v>1.27</v>
      </c>
      <c r="L93" s="433">
        <f t="shared" ref="L93:L144" si="44">IF(H93="Pa",G93/133.322,IF(H93="kPa",(G93*1000)/133.322,IF(H93="log-Pa",(10^G93)/133.322,IF(H93="mm Hg",G93,0))))</f>
        <v>0.13966840706431558</v>
      </c>
      <c r="M93" s="58" t="s">
        <v>33</v>
      </c>
      <c r="N93" s="30" t="s">
        <v>523</v>
      </c>
      <c r="O93" s="100">
        <f>VLOOKUP(N93,References!$B$7:$F$252,5,FALSE)</f>
        <v>127</v>
      </c>
      <c r="S93"/>
    </row>
    <row r="94" spans="1:19" x14ac:dyDescent="0.2">
      <c r="A94" s="868"/>
      <c r="B94" s="869"/>
      <c r="C94" s="832"/>
      <c r="D94" s="832"/>
      <c r="E94" s="149" t="s">
        <v>87</v>
      </c>
      <c r="F94" s="145" t="s">
        <v>88</v>
      </c>
      <c r="G94" s="58">
        <v>0.11</v>
      </c>
      <c r="H94" s="58" t="s">
        <v>568</v>
      </c>
      <c r="I94" s="58" t="s">
        <v>27</v>
      </c>
      <c r="J94" s="433">
        <f>IF(H94="Pa",G94,IF(H94="kPa",G94*1000,IF(H94="log-Pa",10^G94,IF(H94="mm Hg",G94*133.322,0))))</f>
        <v>1.288249551693134</v>
      </c>
      <c r="K94" s="178">
        <f>IF(H94="Pa",LOG(G94),IF(H94="kPa",LOG(G94*1000),IF(H94="log-Pa",G94,IF(H94="mm Hg",LOG(G94*133.322),0))))</f>
        <v>0.11</v>
      </c>
      <c r="L94" s="433">
        <f>IF(H94="Pa",G94/133.322,IF(H94="kPa",(G94*1000)/133.322,IF(H94="log-Pa",(10^G94)/133.322,IF(H94="mm Hg",G94,0))))</f>
        <v>9.6626929666006663E-3</v>
      </c>
      <c r="M94" s="58">
        <v>25</v>
      </c>
      <c r="N94" s="30" t="s">
        <v>520</v>
      </c>
      <c r="O94" s="100">
        <f>VLOOKUP(N94,References!$B$7:$F$252,5,FALSE)</f>
        <v>14</v>
      </c>
      <c r="S94"/>
    </row>
    <row r="95" spans="1:19" x14ac:dyDescent="0.2">
      <c r="A95" s="868"/>
      <c r="B95" s="869"/>
      <c r="C95" s="832"/>
      <c r="D95" s="832"/>
      <c r="E95" s="149" t="s">
        <v>87</v>
      </c>
      <c r="F95" s="145" t="s">
        <v>88</v>
      </c>
      <c r="G95" s="58">
        <v>0.54</v>
      </c>
      <c r="H95" s="58" t="s">
        <v>568</v>
      </c>
      <c r="I95" s="58" t="s">
        <v>519</v>
      </c>
      <c r="J95" s="433">
        <f>IF(H95="Pa",G95,IF(H95="kPa",G95*1000,IF(H95="log-Pa",10^G95,IF(H95="mm Hg",G95*133.322,0))))</f>
        <v>3.4673685045253171</v>
      </c>
      <c r="K95" s="178">
        <f>IF(H95="Pa",LOG(G95),IF(H95="kPa",LOG(G95*1000),IF(H95="log-Pa",G95,IF(H95="mm Hg",LOG(G95*133.322),0))))</f>
        <v>0.54</v>
      </c>
      <c r="L95" s="433">
        <f>IF(H95="Pa",G95/133.322,IF(H95="kPa",(G95*1000)/133.322,IF(H95="log-Pa",(10^G95)/133.322,IF(H95="mm Hg",G95,0))))</f>
        <v>2.6007474419265514E-2</v>
      </c>
      <c r="M95" s="58">
        <v>25</v>
      </c>
      <c r="N95" s="30" t="s">
        <v>520</v>
      </c>
      <c r="O95" s="100">
        <f>VLOOKUP(N95,References!$B$7:$F$252,5,FALSE)</f>
        <v>14</v>
      </c>
      <c r="S95"/>
    </row>
    <row r="96" spans="1:19" x14ac:dyDescent="0.2">
      <c r="A96" s="868"/>
      <c r="B96" s="869"/>
      <c r="C96" s="832"/>
      <c r="D96" s="832"/>
      <c r="E96" s="149" t="s">
        <v>87</v>
      </c>
      <c r="F96" s="145" t="s">
        <v>88</v>
      </c>
      <c r="G96" s="58">
        <v>1.29</v>
      </c>
      <c r="H96" s="58" t="s">
        <v>568</v>
      </c>
      <c r="I96" s="58" t="s">
        <v>524</v>
      </c>
      <c r="J96" s="433">
        <f>IF(H96="Pa",G96,IF(H96="kPa",G96*1000,IF(H96="log-Pa",10^G96,IF(H96="mm Hg",G96*133.322,0))))</f>
        <v>19.498445997580465</v>
      </c>
      <c r="K96" s="178">
        <f>IF(H96="Pa",LOG(G96),IF(H96="kPa",LOG(G96*1000),IF(H96="log-Pa",G96,IF(H96="mm Hg",LOG(G96*133.322),0))))</f>
        <v>1.29</v>
      </c>
      <c r="L96" s="433">
        <f>IF(H96="Pa",G96/133.322,IF(H96="kPa",(G96*1000)/133.322,IF(H96="log-Pa",(10^G96)/133.322,IF(H96="mm Hg",G96,0))))</f>
        <v>0.14625077629783881</v>
      </c>
      <c r="M96" s="58">
        <v>25</v>
      </c>
      <c r="N96" s="30" t="s">
        <v>525</v>
      </c>
      <c r="O96" s="100">
        <f>VLOOKUP(N96,References!$B$7:$F$252,5,FALSE)</f>
        <v>61</v>
      </c>
      <c r="S96"/>
    </row>
    <row r="97" spans="1:19" x14ac:dyDescent="0.2">
      <c r="A97" s="868"/>
      <c r="B97" s="869"/>
      <c r="C97" s="832"/>
      <c r="D97" s="832"/>
      <c r="E97" s="149" t="s">
        <v>87</v>
      </c>
      <c r="F97" s="145" t="s">
        <v>88</v>
      </c>
      <c r="G97" s="350">
        <v>-0.18</v>
      </c>
      <c r="H97" s="58" t="s">
        <v>568</v>
      </c>
      <c r="I97" s="58" t="s">
        <v>524</v>
      </c>
      <c r="J97" s="433">
        <f t="shared" ref="J97:J98" si="45">IF(H97="Pa",G97,IF(H97="kPa",G97*1000,IF(H97="log-Pa",10^G97,IF(H97="mm Hg",G97*133.322,0))))</f>
        <v>0.660693448007596</v>
      </c>
      <c r="K97" s="178">
        <f t="shared" ref="K97:K98" si="46">IF(H97="Pa",LOG(G97),IF(H97="kPa",LOG(G97*1000),IF(H97="log-Pa",G97,IF(H97="mm Hg",LOG(G97*133.322),0))))</f>
        <v>-0.18</v>
      </c>
      <c r="L97" s="433">
        <f t="shared" ref="L97:L98" si="47">IF(H97="Pa",G97/133.322,IF(H97="kPa",(G97*1000)/133.322,IF(H97="log-Pa",(10^G97)/133.322,IF(H97="mm Hg",G97,0))))</f>
        <v>4.9556220879344443E-3</v>
      </c>
      <c r="M97" s="58">
        <v>25</v>
      </c>
      <c r="N97" s="30" t="s">
        <v>55</v>
      </c>
      <c r="O97" s="100">
        <f>VLOOKUP(N97,References!$B$7:$F$252,5,FALSE)</f>
        <v>150</v>
      </c>
      <c r="S97"/>
    </row>
    <row r="98" spans="1:19" x14ac:dyDescent="0.2">
      <c r="A98" s="868"/>
      <c r="B98" s="869"/>
      <c r="C98" s="832"/>
      <c r="D98" s="832"/>
      <c r="E98" s="149" t="s">
        <v>87</v>
      </c>
      <c r="F98" s="145" t="s">
        <v>88</v>
      </c>
      <c r="G98" s="350">
        <v>0.12</v>
      </c>
      <c r="H98" s="58" t="s">
        <v>568</v>
      </c>
      <c r="I98" s="58" t="s">
        <v>27</v>
      </c>
      <c r="J98" s="433">
        <f t="shared" si="45"/>
        <v>1.3182567385564072</v>
      </c>
      <c r="K98" s="178">
        <f t="shared" si="46"/>
        <v>0.12</v>
      </c>
      <c r="L98" s="433">
        <f t="shared" si="47"/>
        <v>9.8877659992829929E-3</v>
      </c>
      <c r="M98" s="58">
        <v>25</v>
      </c>
      <c r="N98" s="30" t="s">
        <v>55</v>
      </c>
      <c r="O98" s="100">
        <f>VLOOKUP(N98,References!$B$7:$F$252,5,FALSE)</f>
        <v>150</v>
      </c>
      <c r="S98"/>
    </row>
    <row r="99" spans="1:19" x14ac:dyDescent="0.2">
      <c r="A99" s="868"/>
      <c r="B99" s="869"/>
      <c r="C99" s="832"/>
      <c r="D99" s="832"/>
      <c r="E99" s="149" t="s">
        <v>87</v>
      </c>
      <c r="F99" s="145" t="s">
        <v>88</v>
      </c>
      <c r="G99" s="350">
        <v>6.7500000000000004E-2</v>
      </c>
      <c r="H99" s="58" t="s">
        <v>564</v>
      </c>
      <c r="I99" s="58" t="s">
        <v>512</v>
      </c>
      <c r="J99" s="433">
        <f t="shared" si="42"/>
        <v>8.9992350000000005</v>
      </c>
      <c r="K99" s="178">
        <f t="shared" si="43"/>
        <v>0.95420559283938544</v>
      </c>
      <c r="L99" s="433">
        <f t="shared" si="44"/>
        <v>6.7500000000000004E-2</v>
      </c>
      <c r="M99" s="58" t="s">
        <v>33</v>
      </c>
      <c r="N99" s="30" t="s">
        <v>511</v>
      </c>
      <c r="O99" s="100">
        <f>VLOOKUP(N99,References!$B$7:$F$252,5,FALSE)</f>
        <v>36</v>
      </c>
      <c r="S99"/>
    </row>
    <row r="100" spans="1:19" x14ac:dyDescent="0.2">
      <c r="A100" s="868"/>
      <c r="B100" s="869"/>
      <c r="C100" s="832"/>
      <c r="D100" s="832"/>
      <c r="E100" s="149" t="s">
        <v>87</v>
      </c>
      <c r="F100" s="145" t="s">
        <v>88</v>
      </c>
      <c r="G100" s="350">
        <v>0.17100000000000001</v>
      </c>
      <c r="H100" s="58" t="s">
        <v>564</v>
      </c>
      <c r="I100" s="58" t="s">
        <v>514</v>
      </c>
      <c r="J100" s="433">
        <f t="shared" si="42"/>
        <v>22.798062000000002</v>
      </c>
      <c r="K100" s="178">
        <f t="shared" si="43"/>
        <v>1.3578979304005143</v>
      </c>
      <c r="L100" s="433">
        <f t="shared" si="44"/>
        <v>0.17100000000000001</v>
      </c>
      <c r="M100" s="58" t="s">
        <v>33</v>
      </c>
      <c r="N100" s="30" t="s">
        <v>511</v>
      </c>
      <c r="O100" s="100">
        <f>VLOOKUP(N100,References!$B$7:$F$252,5,FALSE)</f>
        <v>36</v>
      </c>
      <c r="S100"/>
    </row>
    <row r="101" spans="1:19" x14ac:dyDescent="0.2">
      <c r="A101" s="879"/>
      <c r="B101" s="851"/>
      <c r="C101" s="834"/>
      <c r="D101" s="834"/>
      <c r="E101" s="182" t="s">
        <v>87</v>
      </c>
      <c r="F101" s="239" t="s">
        <v>88</v>
      </c>
      <c r="G101" s="326">
        <v>8.4399999999999996E-3</v>
      </c>
      <c r="H101" s="59" t="s">
        <v>564</v>
      </c>
      <c r="I101" s="59" t="s">
        <v>515</v>
      </c>
      <c r="J101" s="469">
        <f t="shared" si="42"/>
        <v>1.1252376799999999</v>
      </c>
      <c r="K101" s="183">
        <f t="shared" si="43"/>
        <v>5.1244266634015469E-2</v>
      </c>
      <c r="L101" s="469">
        <f t="shared" si="44"/>
        <v>8.4399999999999996E-3</v>
      </c>
      <c r="M101" s="59" t="s">
        <v>33</v>
      </c>
      <c r="N101" s="37" t="s">
        <v>511</v>
      </c>
      <c r="O101" s="122">
        <f>VLOOKUP(N101,References!$B$7:$F$252,5,FALSE)</f>
        <v>36</v>
      </c>
      <c r="S101"/>
    </row>
    <row r="102" spans="1:19" x14ac:dyDescent="0.2">
      <c r="A102" s="868" t="s">
        <v>95</v>
      </c>
      <c r="B102" s="869" t="s">
        <v>96</v>
      </c>
      <c r="C102" s="832">
        <v>514.1</v>
      </c>
      <c r="D102" s="832" t="s">
        <v>97</v>
      </c>
      <c r="E102" s="149" t="s">
        <v>96</v>
      </c>
      <c r="F102" s="145" t="s">
        <v>97</v>
      </c>
      <c r="G102" s="58">
        <v>3.129</v>
      </c>
      <c r="H102" s="58" t="s">
        <v>565</v>
      </c>
      <c r="I102" s="58" t="s">
        <v>27</v>
      </c>
      <c r="J102" s="433">
        <f t="shared" si="42"/>
        <v>3129</v>
      </c>
      <c r="K102" s="178">
        <f t="shared" si="43"/>
        <v>3.4954055631461931</v>
      </c>
      <c r="L102" s="433">
        <f t="shared" si="44"/>
        <v>23.469494907067102</v>
      </c>
      <c r="M102" s="58">
        <v>129.56</v>
      </c>
      <c r="N102" s="30" t="s">
        <v>573</v>
      </c>
      <c r="O102" s="100">
        <f>VLOOKUP(N102,References!$B$7:$F$252,5,FALSE)</f>
        <v>57</v>
      </c>
      <c r="S102"/>
    </row>
    <row r="103" spans="1:19" x14ac:dyDescent="0.2">
      <c r="A103" s="868"/>
      <c r="B103" s="869"/>
      <c r="C103" s="832"/>
      <c r="D103" s="832"/>
      <c r="E103" s="149" t="s">
        <v>96</v>
      </c>
      <c r="F103" s="145" t="s">
        <v>97</v>
      </c>
      <c r="G103" s="350">
        <v>0.22900000000000001</v>
      </c>
      <c r="H103" s="58" t="s">
        <v>562</v>
      </c>
      <c r="I103" s="58" t="s">
        <v>524</v>
      </c>
      <c r="J103" s="433">
        <f t="shared" si="42"/>
        <v>0.22900000000000001</v>
      </c>
      <c r="K103" s="178">
        <f t="shared" si="43"/>
        <v>-0.64016451766011195</v>
      </c>
      <c r="L103" s="433">
        <f t="shared" si="44"/>
        <v>1.7176459999099923E-3</v>
      </c>
      <c r="M103" s="58">
        <v>25</v>
      </c>
      <c r="N103" s="30" t="s">
        <v>573</v>
      </c>
      <c r="O103" s="100">
        <f>VLOOKUP(N103,References!$B$7:$F$252,5,FALSE)</f>
        <v>57</v>
      </c>
      <c r="S103"/>
    </row>
    <row r="104" spans="1:19" x14ac:dyDescent="0.2">
      <c r="A104" s="868"/>
      <c r="B104" s="869"/>
      <c r="C104" s="832"/>
      <c r="D104" s="832"/>
      <c r="E104" s="149" t="s">
        <v>96</v>
      </c>
      <c r="F104" s="145" t="s">
        <v>97</v>
      </c>
      <c r="G104" s="350">
        <v>0.10161695220725403</v>
      </c>
      <c r="H104" s="58" t="s">
        <v>562</v>
      </c>
      <c r="I104" s="58" t="s">
        <v>524</v>
      </c>
      <c r="J104" s="433">
        <f t="shared" si="42"/>
        <v>0.10161695220725403</v>
      </c>
      <c r="K104" s="178">
        <f t="shared" si="43"/>
        <v>-0.99303383500554299</v>
      </c>
      <c r="L104" s="433">
        <f t="shared" si="44"/>
        <v>7.6219192786827403E-4</v>
      </c>
      <c r="M104" s="58">
        <v>20</v>
      </c>
      <c r="N104" s="30" t="s">
        <v>573</v>
      </c>
      <c r="O104" s="100">
        <f>VLOOKUP(N104,References!$B$7:$F$252,5,FALSE)</f>
        <v>57</v>
      </c>
      <c r="S104"/>
    </row>
    <row r="105" spans="1:19" x14ac:dyDescent="0.2">
      <c r="A105" s="868"/>
      <c r="B105" s="869"/>
      <c r="C105" s="832"/>
      <c r="D105" s="832"/>
      <c r="E105" s="149" t="s">
        <v>96</v>
      </c>
      <c r="F105" s="145" t="s">
        <v>97</v>
      </c>
      <c r="G105" s="58">
        <v>-0.64</v>
      </c>
      <c r="H105" s="58" t="s">
        <v>568</v>
      </c>
      <c r="I105" s="58" t="s">
        <v>27</v>
      </c>
      <c r="J105" s="433">
        <f t="shared" si="42"/>
        <v>0.22908676527677729</v>
      </c>
      <c r="K105" s="178">
        <f t="shared" si="43"/>
        <v>-0.64</v>
      </c>
      <c r="L105" s="433">
        <f t="shared" si="44"/>
        <v>1.7182967948033881E-3</v>
      </c>
      <c r="M105" s="58">
        <v>25</v>
      </c>
      <c r="N105" s="30" t="s">
        <v>570</v>
      </c>
      <c r="O105" s="100">
        <f>VLOOKUP(N105,References!$B$7:$F$252,5,FALSE)</f>
        <v>9</v>
      </c>
      <c r="S105"/>
    </row>
    <row r="106" spans="1:19" x14ac:dyDescent="0.2">
      <c r="A106" s="868"/>
      <c r="B106" s="869"/>
      <c r="C106" s="832"/>
      <c r="D106" s="832"/>
      <c r="E106" s="149" t="s">
        <v>96</v>
      </c>
      <c r="F106" s="145" t="s">
        <v>97</v>
      </c>
      <c r="G106" s="58">
        <v>-0.84</v>
      </c>
      <c r="H106" s="58" t="s">
        <v>568</v>
      </c>
      <c r="I106" s="58" t="s">
        <v>522</v>
      </c>
      <c r="J106" s="433">
        <f t="shared" si="42"/>
        <v>0.14454397707459271</v>
      </c>
      <c r="K106" s="178">
        <f t="shared" si="43"/>
        <v>-0.84</v>
      </c>
      <c r="L106" s="433">
        <f t="shared" si="44"/>
        <v>1.0841719826779729E-3</v>
      </c>
      <c r="M106" s="58">
        <v>25</v>
      </c>
      <c r="N106" s="30" t="s">
        <v>570</v>
      </c>
      <c r="O106" s="100">
        <f>VLOOKUP(N106,References!$B$7:$F$252,5,FALSE)</f>
        <v>9</v>
      </c>
      <c r="S106"/>
    </row>
    <row r="107" spans="1:19" x14ac:dyDescent="0.2">
      <c r="A107" s="868"/>
      <c r="B107" s="869"/>
      <c r="C107" s="832"/>
      <c r="D107" s="832"/>
      <c r="E107" s="149" t="s">
        <v>96</v>
      </c>
      <c r="F107" s="145" t="s">
        <v>97</v>
      </c>
      <c r="G107" s="58">
        <v>-2.2799999999999998</v>
      </c>
      <c r="H107" s="58" t="s">
        <v>568</v>
      </c>
      <c r="I107" s="58" t="s">
        <v>571</v>
      </c>
      <c r="J107" s="433">
        <f t="shared" si="42"/>
        <v>5.2480746024977237E-3</v>
      </c>
      <c r="K107" s="178">
        <f t="shared" si="43"/>
        <v>-2.2799999999999998</v>
      </c>
      <c r="L107" s="433">
        <f t="shared" si="44"/>
        <v>3.9363905450696234E-5</v>
      </c>
      <c r="M107" s="58">
        <v>25</v>
      </c>
      <c r="N107" s="30" t="s">
        <v>570</v>
      </c>
      <c r="O107" s="100">
        <f>VLOOKUP(N107,References!$B$7:$F$252,5,FALSE)</f>
        <v>9</v>
      </c>
      <c r="S107"/>
    </row>
    <row r="108" spans="1:19" x14ac:dyDescent="0.2">
      <c r="A108" s="868"/>
      <c r="B108" s="869"/>
      <c r="C108" s="832"/>
      <c r="D108" s="832"/>
      <c r="E108" s="149" t="s">
        <v>96</v>
      </c>
      <c r="F108" s="145" t="s">
        <v>97</v>
      </c>
      <c r="G108" s="58">
        <v>-1.45</v>
      </c>
      <c r="H108" s="58" t="s">
        <v>568</v>
      </c>
      <c r="I108" s="58" t="s">
        <v>513</v>
      </c>
      <c r="J108" s="433">
        <f t="shared" si="42"/>
        <v>3.548133892335753E-2</v>
      </c>
      <c r="K108" s="178">
        <f t="shared" si="43"/>
        <v>-1.45</v>
      </c>
      <c r="L108" s="433">
        <f t="shared" si="44"/>
        <v>2.661326632015536E-4</v>
      </c>
      <c r="M108" s="58">
        <v>25</v>
      </c>
      <c r="N108" s="30" t="s">
        <v>570</v>
      </c>
      <c r="O108" s="100">
        <f>VLOOKUP(N108,References!$B$7:$F$252,5,FALSE)</f>
        <v>9</v>
      </c>
      <c r="S108"/>
    </row>
    <row r="109" spans="1:19" x14ac:dyDescent="0.2">
      <c r="A109" s="868"/>
      <c r="B109" s="869"/>
      <c r="C109" s="832"/>
      <c r="D109" s="832"/>
      <c r="E109" s="149" t="s">
        <v>96</v>
      </c>
      <c r="F109" s="145" t="s">
        <v>97</v>
      </c>
      <c r="G109" s="58">
        <v>3</v>
      </c>
      <c r="H109" s="58" t="s">
        <v>568</v>
      </c>
      <c r="I109" s="58" t="s">
        <v>27</v>
      </c>
      <c r="J109" s="433">
        <f t="shared" si="42"/>
        <v>1000</v>
      </c>
      <c r="K109" s="178">
        <f t="shared" si="43"/>
        <v>3</v>
      </c>
      <c r="L109" s="433">
        <f t="shared" si="44"/>
        <v>7.5006375541921058</v>
      </c>
      <c r="M109" s="58" t="s">
        <v>33</v>
      </c>
      <c r="N109" s="30" t="s">
        <v>569</v>
      </c>
      <c r="O109" s="100">
        <f>VLOOKUP(N109,References!$B$7:$F$252,5,FALSE)</f>
        <v>53</v>
      </c>
      <c r="S109"/>
    </row>
    <row r="110" spans="1:19" x14ac:dyDescent="0.2">
      <c r="A110" s="868"/>
      <c r="B110" s="869"/>
      <c r="C110" s="832"/>
      <c r="D110" s="832"/>
      <c r="E110" s="149" t="s">
        <v>96</v>
      </c>
      <c r="F110" s="145" t="s">
        <v>97</v>
      </c>
      <c r="G110" s="58">
        <v>0.82</v>
      </c>
      <c r="H110" s="58" t="s">
        <v>568</v>
      </c>
      <c r="I110" s="58" t="s">
        <v>522</v>
      </c>
      <c r="J110" s="433">
        <f t="shared" si="42"/>
        <v>6.6069344800759611</v>
      </c>
      <c r="K110" s="178">
        <f t="shared" si="43"/>
        <v>0.82</v>
      </c>
      <c r="L110" s="433">
        <f t="shared" si="44"/>
        <v>4.9556220879344449E-2</v>
      </c>
      <c r="M110" s="58" t="s">
        <v>33</v>
      </c>
      <c r="N110" s="30" t="s">
        <v>523</v>
      </c>
      <c r="O110" s="100">
        <f>VLOOKUP(N110,References!$B$7:$F$252,5,FALSE)</f>
        <v>127</v>
      </c>
      <c r="S110"/>
    </row>
    <row r="111" spans="1:19" x14ac:dyDescent="0.2">
      <c r="A111" s="868"/>
      <c r="B111" s="869"/>
      <c r="C111" s="832"/>
      <c r="D111" s="832"/>
      <c r="E111" s="149" t="s">
        <v>96</v>
      </c>
      <c r="F111" s="145" t="s">
        <v>97</v>
      </c>
      <c r="G111" s="58">
        <v>-0.63</v>
      </c>
      <c r="H111" s="58" t="s">
        <v>568</v>
      </c>
      <c r="I111" s="58" t="s">
        <v>27</v>
      </c>
      <c r="J111" s="433">
        <f>IF(H111="Pa",G111,IF(H111="kPa",G111*1000,IF(H111="log-Pa",10^G111,IF(H111="mm Hg",G111*133.322,0))))</f>
        <v>0.23442288153199217</v>
      </c>
      <c r="K111" s="178">
        <f>IF(H111="Pa",LOG(G111),IF(H111="kPa",LOG(G111*1000),IF(H111="log-Pa",G111,IF(H111="mm Hg",LOG(G111*133.322),0))))</f>
        <v>-0.63</v>
      </c>
      <c r="L111" s="433">
        <f>IF(H111="Pa",G111/133.322,IF(H111="kPa",(G111*1000)/133.322,IF(H111="log-Pa",(10^G111)/133.322,IF(H111="mm Hg",G111,0))))</f>
        <v>1.7583210687807877E-3</v>
      </c>
      <c r="M111" s="58">
        <v>25</v>
      </c>
      <c r="N111" s="30" t="s">
        <v>520</v>
      </c>
      <c r="O111" s="100">
        <f>VLOOKUP(N111,References!$B$7:$F$252,5,FALSE)</f>
        <v>14</v>
      </c>
      <c r="S111"/>
    </row>
    <row r="112" spans="1:19" x14ac:dyDescent="0.2">
      <c r="A112" s="868"/>
      <c r="B112" s="869"/>
      <c r="C112" s="832"/>
      <c r="D112" s="832"/>
      <c r="E112" s="149" t="s">
        <v>96</v>
      </c>
      <c r="F112" s="145" t="s">
        <v>97</v>
      </c>
      <c r="G112" s="58">
        <v>5.0000000000000001E-3</v>
      </c>
      <c r="H112" s="58" t="s">
        <v>568</v>
      </c>
      <c r="I112" s="58" t="s">
        <v>519</v>
      </c>
      <c r="J112" s="433">
        <f>IF(H112="Pa",G112,IF(H112="kPa",G112*1000,IF(H112="log-Pa",10^G112,IF(H112="mm Hg",G112*133.322,0))))</f>
        <v>1.0115794542598986</v>
      </c>
      <c r="K112" s="178">
        <f>IF(H112="Pa",LOG(G112),IF(H112="kPa",LOG(G112*1000),IF(H112="log-Pa",G112,IF(H112="mm Hg",LOG(G112*133.322),0))))</f>
        <v>5.0000000000000001E-3</v>
      </c>
      <c r="L112" s="433">
        <f>IF(H112="Pa",G112/133.322,IF(H112="kPa",(G112*1000)/133.322,IF(H112="log-Pa",(10^G112)/133.322,IF(H112="mm Hg",G112,0))))</f>
        <v>7.5874908436709514E-3</v>
      </c>
      <c r="M112" s="58">
        <v>25</v>
      </c>
      <c r="N112" s="30" t="s">
        <v>520</v>
      </c>
      <c r="O112" s="100">
        <f>VLOOKUP(N112,References!$B$7:$F$252,5,FALSE)</f>
        <v>14</v>
      </c>
      <c r="S112"/>
    </row>
    <row r="113" spans="1:19" x14ac:dyDescent="0.2">
      <c r="A113" s="868"/>
      <c r="B113" s="869"/>
      <c r="C113" s="832"/>
      <c r="D113" s="832"/>
      <c r="E113" s="149" t="s">
        <v>96</v>
      </c>
      <c r="F113" s="145" t="s">
        <v>97</v>
      </c>
      <c r="G113" s="58">
        <v>1.07</v>
      </c>
      <c r="H113" s="58" t="s">
        <v>568</v>
      </c>
      <c r="I113" s="58" t="s">
        <v>524</v>
      </c>
      <c r="J113" s="433">
        <f>IF(H113="Pa",G113,IF(H113="kPa",G113*1000,IF(H113="log-Pa",10^G113,IF(H113="mm Hg",G113*133.322,0))))</f>
        <v>11.748975549395301</v>
      </c>
      <c r="K113" s="178">
        <f>IF(H113="Pa",LOG(G113),IF(H113="kPa",LOG(G113*1000),IF(H113="log-Pa",G113,IF(H113="mm Hg",LOG(G113*133.322),0))))</f>
        <v>1.07</v>
      </c>
      <c r="L113" s="433">
        <f>IF(H113="Pa",G113/133.322,IF(H113="kPa",(G113*1000)/133.322,IF(H113="log-Pa",(10^G113)/133.322,IF(H113="mm Hg",G113,0))))</f>
        <v>8.8124807229079227E-2</v>
      </c>
      <c r="M113" s="58">
        <v>25</v>
      </c>
      <c r="N113" s="30" t="s">
        <v>525</v>
      </c>
      <c r="O113" s="100">
        <f>VLOOKUP(N113,References!$B$7:$F$252,5,FALSE)</f>
        <v>61</v>
      </c>
      <c r="S113"/>
    </row>
    <row r="114" spans="1:19" x14ac:dyDescent="0.2">
      <c r="A114" s="868"/>
      <c r="B114" s="869"/>
      <c r="C114" s="832"/>
      <c r="D114" s="832"/>
      <c r="E114" s="149" t="s">
        <v>96</v>
      </c>
      <c r="F114" s="145" t="s">
        <v>97</v>
      </c>
      <c r="G114" s="350">
        <v>-0.99</v>
      </c>
      <c r="H114" s="58" t="s">
        <v>568</v>
      </c>
      <c r="I114" s="58" t="s">
        <v>524</v>
      </c>
      <c r="J114" s="433">
        <f t="shared" ref="J114:J115" si="48">IF(H114="Pa",G114,IF(H114="kPa",G114*1000,IF(H114="log-Pa",10^G114,IF(H114="mm Hg",G114*133.322,0))))</f>
        <v>0.10232929922807538</v>
      </c>
      <c r="K114" s="178">
        <f t="shared" ref="K114:K115" si="49">IF(H114="Pa",LOG(G114),IF(H114="kPa",LOG(G114*1000),IF(H114="log-Pa",G114,IF(H114="mm Hg",LOG(G114*133.322),0))))</f>
        <v>-0.99</v>
      </c>
      <c r="L114" s="433">
        <f t="shared" ref="L114:L115" si="50">IF(H114="Pa",G114/133.322,IF(H114="kPa",(G114*1000)/133.322,IF(H114="log-Pa",(10^G114)/133.322,IF(H114="mm Hg",G114,0))))</f>
        <v>7.6753498468426344E-4</v>
      </c>
      <c r="M114" s="58">
        <v>25</v>
      </c>
      <c r="N114" s="30" t="s">
        <v>55</v>
      </c>
      <c r="O114" s="100">
        <f>VLOOKUP(N114,References!$B$7:$F$252,5,FALSE)</f>
        <v>150</v>
      </c>
      <c r="S114"/>
    </row>
    <row r="115" spans="1:19" x14ac:dyDescent="0.2">
      <c r="A115" s="868"/>
      <c r="B115" s="869"/>
      <c r="C115" s="832"/>
      <c r="D115" s="832"/>
      <c r="E115" s="149" t="s">
        <v>96</v>
      </c>
      <c r="F115" s="145" t="s">
        <v>97</v>
      </c>
      <c r="G115" s="350">
        <v>-0.6</v>
      </c>
      <c r="H115" s="58" t="s">
        <v>568</v>
      </c>
      <c r="I115" s="58" t="s">
        <v>27</v>
      </c>
      <c r="J115" s="433">
        <f t="shared" si="48"/>
        <v>0.25118864315095801</v>
      </c>
      <c r="K115" s="178">
        <f t="shared" si="49"/>
        <v>-0.6</v>
      </c>
      <c r="L115" s="433">
        <f t="shared" si="50"/>
        <v>1.8840749700046355E-3</v>
      </c>
      <c r="M115" s="58">
        <v>25</v>
      </c>
      <c r="N115" s="30" t="s">
        <v>55</v>
      </c>
      <c r="O115" s="100">
        <f>VLOOKUP(N115,References!$B$7:$F$252,5,FALSE)</f>
        <v>150</v>
      </c>
      <c r="S115"/>
    </row>
    <row r="116" spans="1:19" x14ac:dyDescent="0.2">
      <c r="A116" s="868"/>
      <c r="B116" s="869"/>
      <c r="C116" s="832"/>
      <c r="D116" s="832"/>
      <c r="E116" s="149" t="s">
        <v>96</v>
      </c>
      <c r="F116" s="145" t="s">
        <v>97</v>
      </c>
      <c r="G116" s="349">
        <v>4.2700000000000002E-2</v>
      </c>
      <c r="H116" s="58" t="s">
        <v>564</v>
      </c>
      <c r="I116" s="58" t="s">
        <v>512</v>
      </c>
      <c r="J116" s="433">
        <f t="shared" si="42"/>
        <v>5.6928494000000001</v>
      </c>
      <c r="K116" s="178">
        <f t="shared" si="43"/>
        <v>0.75532969503338432</v>
      </c>
      <c r="L116" s="433">
        <f t="shared" si="44"/>
        <v>4.2700000000000002E-2</v>
      </c>
      <c r="M116" s="58" t="s">
        <v>33</v>
      </c>
      <c r="N116" s="30" t="s">
        <v>511</v>
      </c>
      <c r="O116" s="100">
        <f>VLOOKUP(N116,References!$B$7:$F$252,5,FALSE)</f>
        <v>36</v>
      </c>
      <c r="S116"/>
    </row>
    <row r="117" spans="1:19" x14ac:dyDescent="0.2">
      <c r="A117" s="868"/>
      <c r="B117" s="869"/>
      <c r="C117" s="832"/>
      <c r="D117" s="832"/>
      <c r="E117" s="149" t="s">
        <v>96</v>
      </c>
      <c r="F117" s="145" t="s">
        <v>97</v>
      </c>
      <c r="G117" s="349">
        <v>4.6300000000000001E-2</v>
      </c>
      <c r="H117" s="58" t="s">
        <v>564</v>
      </c>
      <c r="I117" s="58" t="s">
        <v>514</v>
      </c>
      <c r="J117" s="433">
        <f t="shared" si="42"/>
        <v>6.1728086000000006</v>
      </c>
      <c r="K117" s="178">
        <f t="shared" si="43"/>
        <v>0.79048281102631368</v>
      </c>
      <c r="L117" s="433">
        <f t="shared" si="44"/>
        <v>4.6300000000000001E-2</v>
      </c>
      <c r="M117" s="58" t="s">
        <v>33</v>
      </c>
      <c r="N117" s="30" t="s">
        <v>511</v>
      </c>
      <c r="O117" s="100">
        <f>VLOOKUP(N117,References!$B$7:$F$252,5,FALSE)</f>
        <v>36</v>
      </c>
      <c r="S117"/>
    </row>
    <row r="118" spans="1:19" x14ac:dyDescent="0.2">
      <c r="A118" s="879"/>
      <c r="B118" s="851"/>
      <c r="C118" s="834"/>
      <c r="D118" s="834"/>
      <c r="E118" s="182" t="s">
        <v>96</v>
      </c>
      <c r="F118" s="239" t="s">
        <v>97</v>
      </c>
      <c r="G118" s="325">
        <v>1.4599999999999999E-3</v>
      </c>
      <c r="H118" s="59" t="s">
        <v>564</v>
      </c>
      <c r="I118" s="59" t="s">
        <v>515</v>
      </c>
      <c r="J118" s="469">
        <f t="shared" si="42"/>
        <v>0.19465011999999998</v>
      </c>
      <c r="K118" s="183">
        <f t="shared" si="43"/>
        <v>-0.71074532420720249</v>
      </c>
      <c r="L118" s="469">
        <f t="shared" si="44"/>
        <v>1.4599999999999999E-3</v>
      </c>
      <c r="M118" s="59" t="s">
        <v>33</v>
      </c>
      <c r="N118" s="37" t="s">
        <v>511</v>
      </c>
      <c r="O118" s="122">
        <f>VLOOKUP(N118,References!$B$7:$F$252,5,FALSE)</f>
        <v>36</v>
      </c>
      <c r="S118"/>
    </row>
    <row r="119" spans="1:19" x14ac:dyDescent="0.2">
      <c r="A119" s="867" t="s">
        <v>106</v>
      </c>
      <c r="B119" s="850" t="s">
        <v>107</v>
      </c>
      <c r="C119" s="833">
        <v>564.1</v>
      </c>
      <c r="D119" s="833" t="s">
        <v>108</v>
      </c>
      <c r="E119" s="150" t="s">
        <v>107</v>
      </c>
      <c r="F119" s="151" t="s">
        <v>108</v>
      </c>
      <c r="G119" s="58">
        <v>0.61599999999999999</v>
      </c>
      <c r="H119" s="58" t="s">
        <v>565</v>
      </c>
      <c r="I119" s="58" t="s">
        <v>27</v>
      </c>
      <c r="J119" s="433">
        <f t="shared" si="42"/>
        <v>616</v>
      </c>
      <c r="K119" s="178">
        <f t="shared" si="43"/>
        <v>2.7895807121644256</v>
      </c>
      <c r="L119" s="433">
        <f t="shared" si="44"/>
        <v>4.6203927333823378</v>
      </c>
      <c r="M119" s="58">
        <v>112.04</v>
      </c>
      <c r="N119" s="30" t="s">
        <v>573</v>
      </c>
      <c r="O119" s="100">
        <f>VLOOKUP(N119,References!$B$7:$F$252,5,FALSE)</f>
        <v>57</v>
      </c>
      <c r="S119"/>
    </row>
    <row r="120" spans="1:19" x14ac:dyDescent="0.2">
      <c r="A120" s="868"/>
      <c r="B120" s="869"/>
      <c r="C120" s="832"/>
      <c r="D120" s="832"/>
      <c r="E120" s="149" t="s">
        <v>107</v>
      </c>
      <c r="F120" s="145" t="s">
        <v>108</v>
      </c>
      <c r="G120" s="349">
        <v>0.104791707378393</v>
      </c>
      <c r="H120" s="58" t="s">
        <v>562</v>
      </c>
      <c r="I120" s="58" t="s">
        <v>524</v>
      </c>
      <c r="J120" s="433">
        <f t="shared" si="42"/>
        <v>0.104791707378393</v>
      </c>
      <c r="K120" s="178">
        <f t="shared" si="43"/>
        <v>-0.97967308359560745</v>
      </c>
      <c r="L120" s="433">
        <f t="shared" si="44"/>
        <v>7.8600461573028455E-4</v>
      </c>
      <c r="M120" s="58">
        <v>25</v>
      </c>
      <c r="N120" s="30" t="s">
        <v>573</v>
      </c>
      <c r="O120" s="100">
        <f>VLOOKUP(N120,References!$B$7:$F$252,5,FALSE)</f>
        <v>57</v>
      </c>
      <c r="S120"/>
    </row>
    <row r="121" spans="1:19" x14ac:dyDescent="0.2">
      <c r="A121" s="868"/>
      <c r="B121" s="869"/>
      <c r="C121" s="832"/>
      <c r="D121" s="832"/>
      <c r="E121" s="149" t="s">
        <v>107</v>
      </c>
      <c r="F121" s="145" t="s">
        <v>108</v>
      </c>
      <c r="G121" s="349">
        <v>4.5761025304156933E-2</v>
      </c>
      <c r="H121" s="58" t="s">
        <v>562</v>
      </c>
      <c r="I121" s="58" t="s">
        <v>524</v>
      </c>
      <c r="J121" s="433">
        <f t="shared" si="42"/>
        <v>4.5761025304156933E-2</v>
      </c>
      <c r="K121" s="178">
        <f t="shared" si="43"/>
        <v>-1.3395042534687656</v>
      </c>
      <c r="L121" s="433">
        <f t="shared" si="44"/>
        <v>3.4323686491469473E-4</v>
      </c>
      <c r="M121" s="58">
        <v>20</v>
      </c>
      <c r="N121" s="30" t="s">
        <v>573</v>
      </c>
      <c r="O121" s="100">
        <f>VLOOKUP(N121,References!$B$7:$F$252,5,FALSE)</f>
        <v>57</v>
      </c>
      <c r="S121"/>
    </row>
    <row r="122" spans="1:19" x14ac:dyDescent="0.2">
      <c r="A122" s="868"/>
      <c r="B122" s="869"/>
      <c r="C122" s="832"/>
      <c r="D122" s="832"/>
      <c r="E122" s="149" t="s">
        <v>107</v>
      </c>
      <c r="F122" s="145" t="s">
        <v>108</v>
      </c>
      <c r="G122" s="58">
        <v>-0.98</v>
      </c>
      <c r="H122" s="58" t="s">
        <v>568</v>
      </c>
      <c r="I122" s="58" t="s">
        <v>27</v>
      </c>
      <c r="J122" s="433">
        <f t="shared" si="42"/>
        <v>0.10471285480508996</v>
      </c>
      <c r="K122" s="178">
        <f t="shared" si="43"/>
        <v>-0.98</v>
      </c>
      <c r="L122" s="433">
        <f t="shared" si="44"/>
        <v>7.8541317115772308E-4</v>
      </c>
      <c r="M122" s="58">
        <v>25</v>
      </c>
      <c r="N122" s="30" t="s">
        <v>570</v>
      </c>
      <c r="O122" s="100">
        <f>VLOOKUP(N122,References!$B$7:$F$252,5,FALSE)</f>
        <v>9</v>
      </c>
      <c r="S122"/>
    </row>
    <row r="123" spans="1:19" x14ac:dyDescent="0.2">
      <c r="A123" s="868"/>
      <c r="B123" s="869"/>
      <c r="C123" s="832"/>
      <c r="D123" s="832"/>
      <c r="E123" s="149" t="s">
        <v>107</v>
      </c>
      <c r="F123" s="145" t="s">
        <v>108</v>
      </c>
      <c r="G123" s="58">
        <v>-0.81</v>
      </c>
      <c r="H123" s="58" t="s">
        <v>568</v>
      </c>
      <c r="I123" s="58" t="s">
        <v>522</v>
      </c>
      <c r="J123" s="433">
        <f t="shared" si="42"/>
        <v>0.15488166189124808</v>
      </c>
      <c r="K123" s="178">
        <f t="shared" si="43"/>
        <v>-0.81</v>
      </c>
      <c r="L123" s="433">
        <f t="shared" si="44"/>
        <v>1.1617112096371797E-3</v>
      </c>
      <c r="M123" s="58">
        <v>25</v>
      </c>
      <c r="N123" s="30" t="s">
        <v>570</v>
      </c>
      <c r="O123" s="100">
        <f>VLOOKUP(N123,References!$B$7:$F$252,5,FALSE)</f>
        <v>9</v>
      </c>
      <c r="S123"/>
    </row>
    <row r="124" spans="1:19" x14ac:dyDescent="0.2">
      <c r="A124" s="868"/>
      <c r="B124" s="869"/>
      <c r="C124" s="832"/>
      <c r="D124" s="832"/>
      <c r="E124" s="149" t="s">
        <v>107</v>
      </c>
      <c r="F124" s="145" t="s">
        <v>108</v>
      </c>
      <c r="G124" s="58">
        <v>-2.4</v>
      </c>
      <c r="H124" s="58" t="s">
        <v>568</v>
      </c>
      <c r="I124" s="58" t="s">
        <v>571</v>
      </c>
      <c r="J124" s="433">
        <f t="shared" si="42"/>
        <v>3.9810717055349717E-3</v>
      </c>
      <c r="K124" s="178">
        <f t="shared" si="43"/>
        <v>-2.4</v>
      </c>
      <c r="L124" s="433">
        <f t="shared" si="44"/>
        <v>2.9860575940467225E-5</v>
      </c>
      <c r="M124" s="58">
        <v>25</v>
      </c>
      <c r="N124" s="30" t="s">
        <v>570</v>
      </c>
      <c r="O124" s="100">
        <f>VLOOKUP(N124,References!$B$7:$F$252,5,FALSE)</f>
        <v>9</v>
      </c>
      <c r="S124"/>
    </row>
    <row r="125" spans="1:19" x14ac:dyDescent="0.2">
      <c r="A125" s="868"/>
      <c r="B125" s="869"/>
      <c r="C125" s="832"/>
      <c r="D125" s="832"/>
      <c r="E125" s="149" t="s">
        <v>107</v>
      </c>
      <c r="F125" s="145" t="s">
        <v>108</v>
      </c>
      <c r="G125" s="58">
        <v>-1.4</v>
      </c>
      <c r="H125" s="58" t="s">
        <v>568</v>
      </c>
      <c r="I125" s="58" t="s">
        <v>513</v>
      </c>
      <c r="J125" s="433">
        <f t="shared" si="42"/>
        <v>3.9810717055349727E-2</v>
      </c>
      <c r="K125" s="178">
        <f t="shared" si="43"/>
        <v>-1.4</v>
      </c>
      <c r="L125" s="433">
        <f t="shared" si="44"/>
        <v>2.9860575940467236E-4</v>
      </c>
      <c r="M125" s="58">
        <v>25</v>
      </c>
      <c r="N125" s="30" t="s">
        <v>570</v>
      </c>
      <c r="O125" s="100">
        <f>VLOOKUP(N125,References!$B$7:$F$252,5,FALSE)</f>
        <v>9</v>
      </c>
      <c r="S125"/>
    </row>
    <row r="126" spans="1:19" x14ac:dyDescent="0.2">
      <c r="A126" s="868"/>
      <c r="B126" s="869"/>
      <c r="C126" s="832"/>
      <c r="D126" s="832"/>
      <c r="E126" s="149" t="s">
        <v>107</v>
      </c>
      <c r="F126" s="145" t="s">
        <v>108</v>
      </c>
      <c r="G126" s="58">
        <v>0.34</v>
      </c>
      <c r="H126" s="58" t="s">
        <v>568</v>
      </c>
      <c r="I126" s="58" t="s">
        <v>522</v>
      </c>
      <c r="J126" s="433">
        <f t="shared" si="42"/>
        <v>2.1877616239495525</v>
      </c>
      <c r="K126" s="178">
        <f t="shared" si="43"/>
        <v>0.34</v>
      </c>
      <c r="L126" s="433">
        <f t="shared" si="44"/>
        <v>1.6409606996216321E-2</v>
      </c>
      <c r="M126" s="58" t="s">
        <v>33</v>
      </c>
      <c r="N126" s="30" t="s">
        <v>523</v>
      </c>
      <c r="O126" s="100">
        <f>VLOOKUP(N126,References!$B$7:$F$252,5,FALSE)</f>
        <v>127</v>
      </c>
      <c r="S126"/>
    </row>
    <row r="127" spans="1:19" x14ac:dyDescent="0.2">
      <c r="A127" s="868"/>
      <c r="B127" s="869"/>
      <c r="C127" s="832"/>
      <c r="D127" s="832"/>
      <c r="E127" s="149" t="s">
        <v>107</v>
      </c>
      <c r="F127" s="145" t="s">
        <v>108</v>
      </c>
      <c r="G127" s="58">
        <v>-1</v>
      </c>
      <c r="H127" s="58" t="s">
        <v>568</v>
      </c>
      <c r="I127" s="58" t="s">
        <v>27</v>
      </c>
      <c r="J127" s="433">
        <f>IF(H127="Pa",G127,IF(H127="kPa",G127*1000,IF(H127="log-Pa",10^G127,IF(H127="mm Hg",G127*133.322,0))))</f>
        <v>0.1</v>
      </c>
      <c r="K127" s="178">
        <f>IF(H127="Pa",LOG(G127),IF(H127="kPa",LOG(G127*1000),IF(H127="log-Pa",G127,IF(H127="mm Hg",LOG(G127*133.322),0))))</f>
        <v>-1</v>
      </c>
      <c r="L127" s="433">
        <f>IF(H127="Pa",G127/133.322,IF(H127="kPa",(G127*1000)/133.322,IF(H127="log-Pa",(10^G127)/133.322,IF(H127="mm Hg",G127,0))))</f>
        <v>7.5006375541921062E-4</v>
      </c>
      <c r="M127" s="58">
        <v>25</v>
      </c>
      <c r="N127" s="30" t="s">
        <v>520</v>
      </c>
      <c r="O127" s="100">
        <f>VLOOKUP(N127,References!$B$7:$F$252,5,FALSE)</f>
        <v>14</v>
      </c>
      <c r="S127"/>
    </row>
    <row r="128" spans="1:19" x14ac:dyDescent="0.2">
      <c r="A128" s="868"/>
      <c r="B128" s="869"/>
      <c r="C128" s="832"/>
      <c r="D128" s="832"/>
      <c r="E128" s="149" t="s">
        <v>107</v>
      </c>
      <c r="F128" s="145" t="s">
        <v>108</v>
      </c>
      <c r="G128" s="58">
        <v>-0.59</v>
      </c>
      <c r="H128" s="58" t="s">
        <v>568</v>
      </c>
      <c r="I128" s="58" t="s">
        <v>519</v>
      </c>
      <c r="J128" s="433">
        <f>IF(H128="Pa",G128,IF(H128="kPa",G128*1000,IF(H128="log-Pa",10^G128,IF(H128="mm Hg",G128*133.322,0))))</f>
        <v>0.25703957827688634</v>
      </c>
      <c r="K128" s="178">
        <f>IF(H128="Pa",LOG(G128),IF(H128="kPa",LOG(G128*1000),IF(H128="log-Pa",G128,IF(H128="mm Hg",LOG(G128*133.322),0))))</f>
        <v>-0.59</v>
      </c>
      <c r="L128" s="433">
        <f>IF(H128="Pa",G128/133.322,IF(H128="kPa",(G128*1000)/133.322,IF(H128="log-Pa",(10^G128)/133.322,IF(H128="mm Hg",G128,0))))</f>
        <v>1.9279607137373152E-3</v>
      </c>
      <c r="M128" s="58">
        <v>25</v>
      </c>
      <c r="N128" s="30" t="s">
        <v>520</v>
      </c>
      <c r="O128" s="100">
        <f>VLOOKUP(N128,References!$B$7:$F$252,5,FALSE)</f>
        <v>14</v>
      </c>
      <c r="S128"/>
    </row>
    <row r="129" spans="1:19" x14ac:dyDescent="0.2">
      <c r="A129" s="868"/>
      <c r="B129" s="869"/>
      <c r="C129" s="832"/>
      <c r="D129" s="832"/>
      <c r="E129" s="149" t="s">
        <v>107</v>
      </c>
      <c r="F129" s="145" t="s">
        <v>108</v>
      </c>
      <c r="G129" s="58">
        <v>0.88</v>
      </c>
      <c r="H129" s="58" t="s">
        <v>568</v>
      </c>
      <c r="I129" s="58" t="s">
        <v>524</v>
      </c>
      <c r="J129" s="433">
        <f>IF(H129="Pa",G129,IF(H129="kPa",G129*1000,IF(H129="log-Pa",10^G129,IF(H129="mm Hg",G129*133.322,0))))</f>
        <v>7.5857757502918375</v>
      </c>
      <c r="K129" s="178">
        <f>IF(H129="Pa",LOG(G129),IF(H129="kPa",LOG(G129*1000),IF(H129="log-Pa",G129,IF(H129="mm Hg",LOG(G129*133.322),0))))</f>
        <v>0.88</v>
      </c>
      <c r="L129" s="433">
        <f>IF(H129="Pa",G129/133.322,IF(H129="kPa",(G129*1000)/133.322,IF(H129="log-Pa",(10^G129)/133.322,IF(H129="mm Hg",G129,0))))</f>
        <v>5.6898154470318756E-2</v>
      </c>
      <c r="M129" s="58">
        <v>25</v>
      </c>
      <c r="N129" s="30" t="s">
        <v>525</v>
      </c>
      <c r="O129" s="100">
        <f>VLOOKUP(N129,References!$B$7:$F$252,5,FALSE)</f>
        <v>61</v>
      </c>
      <c r="S129"/>
    </row>
    <row r="130" spans="1:19" x14ac:dyDescent="0.2">
      <c r="A130" s="868"/>
      <c r="B130" s="869"/>
      <c r="C130" s="832"/>
      <c r="D130" s="832"/>
      <c r="E130" s="149" t="s">
        <v>107</v>
      </c>
      <c r="F130" s="145" t="s">
        <v>108</v>
      </c>
      <c r="G130" s="350">
        <v>-1.65</v>
      </c>
      <c r="H130" s="58" t="s">
        <v>568</v>
      </c>
      <c r="I130" s="58" t="s">
        <v>524</v>
      </c>
      <c r="J130" s="433">
        <f t="shared" ref="J130:J131" si="51">IF(H130="Pa",G130,IF(H130="kPa",G130*1000,IF(H130="log-Pa",10^G130,IF(H130="mm Hg",G130*133.322,0))))</f>
        <v>2.2387211385683389E-2</v>
      </c>
      <c r="K130" s="178">
        <f t="shared" ref="K130:K131" si="52">IF(H130="Pa",LOG(G130),IF(H130="kPa",LOG(G130*1000),IF(H130="log-Pa",G130,IF(H130="mm Hg",LOG(G130*133.322),0))))</f>
        <v>-1.65</v>
      </c>
      <c r="L130" s="433">
        <f t="shared" ref="L130:L131" si="53">IF(H130="Pa",G130/133.322,IF(H130="kPa",(G130*1000)/133.322,IF(H130="log-Pa",(10^G130)/133.322,IF(H130="mm Hg",G130,0))))</f>
        <v>1.6791835845309392E-4</v>
      </c>
      <c r="M130" s="58">
        <v>25</v>
      </c>
      <c r="N130" s="30" t="s">
        <v>55</v>
      </c>
      <c r="O130" s="100">
        <f>VLOOKUP(N130,References!$B$7:$F$252,5,FALSE)</f>
        <v>150</v>
      </c>
      <c r="S130"/>
    </row>
    <row r="131" spans="1:19" x14ac:dyDescent="0.2">
      <c r="A131" s="868"/>
      <c r="B131" s="869"/>
      <c r="C131" s="832"/>
      <c r="D131" s="832"/>
      <c r="E131" s="149" t="s">
        <v>107</v>
      </c>
      <c r="F131" s="145" t="s">
        <v>108</v>
      </c>
      <c r="G131" s="350">
        <v>-0.8</v>
      </c>
      <c r="H131" s="58" t="s">
        <v>568</v>
      </c>
      <c r="I131" s="58" t="s">
        <v>27</v>
      </c>
      <c r="J131" s="433">
        <f t="shared" si="51"/>
        <v>0.15848931924611132</v>
      </c>
      <c r="K131" s="178">
        <f t="shared" si="52"/>
        <v>-0.8</v>
      </c>
      <c r="L131" s="433">
        <f t="shared" si="53"/>
        <v>1.1887709398757244E-3</v>
      </c>
      <c r="M131" s="58">
        <v>25</v>
      </c>
      <c r="N131" s="30" t="s">
        <v>55</v>
      </c>
      <c r="O131" s="100">
        <f>VLOOKUP(N131,References!$B$7:$F$252,5,FALSE)</f>
        <v>150</v>
      </c>
      <c r="S131"/>
    </row>
    <row r="132" spans="1:19" x14ac:dyDescent="0.2">
      <c r="A132" s="868"/>
      <c r="B132" s="869"/>
      <c r="C132" s="832"/>
      <c r="D132" s="832"/>
      <c r="E132" s="149" t="s">
        <v>107</v>
      </c>
      <c r="F132" s="145" t="s">
        <v>108</v>
      </c>
      <c r="G132" s="349">
        <v>2.9499999999999998E-2</v>
      </c>
      <c r="H132" s="58" t="s">
        <v>564</v>
      </c>
      <c r="I132" s="58" t="s">
        <v>512</v>
      </c>
      <c r="J132" s="433">
        <f t="shared" si="42"/>
        <v>3.9329989999999997</v>
      </c>
      <c r="K132" s="178">
        <f t="shared" si="43"/>
        <v>0.59472383598652345</v>
      </c>
      <c r="L132" s="433">
        <f t="shared" si="44"/>
        <v>2.9499999999999998E-2</v>
      </c>
      <c r="M132" s="58" t="s">
        <v>33</v>
      </c>
      <c r="N132" s="30" t="s">
        <v>511</v>
      </c>
      <c r="O132" s="100">
        <f>VLOOKUP(N132,References!$B$7:$F$252,5,FALSE)</f>
        <v>36</v>
      </c>
      <c r="S132"/>
    </row>
    <row r="133" spans="1:19" x14ac:dyDescent="0.2">
      <c r="A133" s="868"/>
      <c r="B133" s="869"/>
      <c r="C133" s="832"/>
      <c r="D133" s="832"/>
      <c r="E133" s="149" t="s">
        <v>107</v>
      </c>
      <c r="F133" s="145" t="s">
        <v>108</v>
      </c>
      <c r="G133" s="349">
        <v>2.47E-2</v>
      </c>
      <c r="H133" s="58" t="s">
        <v>564</v>
      </c>
      <c r="I133" s="58" t="s">
        <v>514</v>
      </c>
      <c r="J133" s="433">
        <f t="shared" si="42"/>
        <v>3.2930534000000002</v>
      </c>
      <c r="K133" s="178">
        <f t="shared" si="43"/>
        <v>0.51759877326802617</v>
      </c>
      <c r="L133" s="433">
        <f t="shared" si="44"/>
        <v>2.47E-2</v>
      </c>
      <c r="M133" s="58" t="s">
        <v>33</v>
      </c>
      <c r="N133" s="30" t="s">
        <v>511</v>
      </c>
      <c r="O133" s="100">
        <f>VLOOKUP(N133,References!$B$7:$F$252,5,FALSE)</f>
        <v>36</v>
      </c>
      <c r="S133"/>
    </row>
    <row r="134" spans="1:19" x14ac:dyDescent="0.2">
      <c r="A134" s="879"/>
      <c r="B134" s="851"/>
      <c r="C134" s="834"/>
      <c r="D134" s="834"/>
      <c r="E134" s="182" t="s">
        <v>107</v>
      </c>
      <c r="F134" s="239" t="s">
        <v>108</v>
      </c>
      <c r="G134" s="325">
        <v>6.4799999999999996E-2</v>
      </c>
      <c r="H134" s="59" t="s">
        <v>564</v>
      </c>
      <c r="I134" s="59" t="s">
        <v>515</v>
      </c>
      <c r="J134" s="469">
        <f t="shared" si="42"/>
        <v>8.6392655999999999</v>
      </c>
      <c r="K134" s="183">
        <f t="shared" si="43"/>
        <v>0.93647682587895376</v>
      </c>
      <c r="L134" s="469">
        <f t="shared" si="44"/>
        <v>6.4799999999999996E-2</v>
      </c>
      <c r="M134" s="59" t="s">
        <v>33</v>
      </c>
      <c r="N134" s="37" t="s">
        <v>511</v>
      </c>
      <c r="O134" s="122">
        <f>VLOOKUP(N134,References!$B$7:$F$252,5,FALSE)</f>
        <v>36</v>
      </c>
      <c r="S134"/>
    </row>
    <row r="135" spans="1:19" x14ac:dyDescent="0.2">
      <c r="A135" s="868" t="s">
        <v>117</v>
      </c>
      <c r="B135" s="869" t="s">
        <v>118</v>
      </c>
      <c r="C135" s="832">
        <f>C119+50</f>
        <v>614.1</v>
      </c>
      <c r="D135" s="832" t="s">
        <v>119</v>
      </c>
      <c r="E135" s="149" t="s">
        <v>118</v>
      </c>
      <c r="F135" s="145" t="s">
        <v>119</v>
      </c>
      <c r="G135" s="58">
        <v>0.85599999999999998</v>
      </c>
      <c r="H135" s="58" t="s">
        <v>565</v>
      </c>
      <c r="I135" s="58" t="s">
        <v>27</v>
      </c>
      <c r="J135" s="433">
        <f t="shared" si="42"/>
        <v>856</v>
      </c>
      <c r="K135" s="178">
        <f t="shared" si="43"/>
        <v>2.932473764677153</v>
      </c>
      <c r="L135" s="433">
        <f t="shared" si="44"/>
        <v>6.4205457463884432</v>
      </c>
      <c r="M135" s="58">
        <v>127.58</v>
      </c>
      <c r="N135" s="30" t="s">
        <v>573</v>
      </c>
      <c r="O135" s="100">
        <f>VLOOKUP(N135,References!$B$7:$F$252,5,FALSE)</f>
        <v>57</v>
      </c>
      <c r="S135"/>
    </row>
    <row r="136" spans="1:19" x14ac:dyDescent="0.2">
      <c r="A136" s="868"/>
      <c r="B136" s="869"/>
      <c r="C136" s="832"/>
      <c r="D136" s="832"/>
      <c r="E136" s="149" t="s">
        <v>118</v>
      </c>
      <c r="F136" s="145" t="s">
        <v>119</v>
      </c>
      <c r="G136" s="355">
        <v>1.0862803862295122E-44</v>
      </c>
      <c r="H136" s="58" t="s">
        <v>562</v>
      </c>
      <c r="I136" s="58" t="s">
        <v>524</v>
      </c>
      <c r="J136" s="433">
        <f t="shared" si="42"/>
        <v>1.0862803862295122E-44</v>
      </c>
      <c r="K136" s="178">
        <f t="shared" si="43"/>
        <v>-43.964058061970455</v>
      </c>
      <c r="L136" s="433">
        <f t="shared" si="44"/>
        <v>8.1477954593353856E-47</v>
      </c>
      <c r="M136" s="58">
        <v>25</v>
      </c>
      <c r="N136" s="30" t="s">
        <v>573</v>
      </c>
      <c r="O136" s="100">
        <f>VLOOKUP(N136,References!$B$7:$F$252,5,FALSE)</f>
        <v>57</v>
      </c>
      <c r="S136"/>
    </row>
    <row r="137" spans="1:19" x14ac:dyDescent="0.2">
      <c r="A137" s="868"/>
      <c r="B137" s="869"/>
      <c r="C137" s="832"/>
      <c r="D137" s="832"/>
      <c r="E137" s="149" t="s">
        <v>118</v>
      </c>
      <c r="F137" s="145" t="s">
        <v>119</v>
      </c>
      <c r="G137" s="355">
        <v>6.8077432163806535E-58</v>
      </c>
      <c r="H137" s="58" t="s">
        <v>562</v>
      </c>
      <c r="I137" s="58" t="s">
        <v>524</v>
      </c>
      <c r="J137" s="433">
        <f t="shared" si="42"/>
        <v>6.8077432163806535E-58</v>
      </c>
      <c r="K137" s="178">
        <f t="shared" si="43"/>
        <v>-57.166996833918198</v>
      </c>
      <c r="L137" s="433">
        <f t="shared" si="44"/>
        <v>5.1062414428081291E-60</v>
      </c>
      <c r="M137" s="58">
        <v>20</v>
      </c>
      <c r="N137" s="30" t="s">
        <v>573</v>
      </c>
      <c r="O137" s="100">
        <f>VLOOKUP(N137,References!$B$7:$F$252,5,FALSE)</f>
        <v>57</v>
      </c>
      <c r="S137"/>
    </row>
    <row r="138" spans="1:19" x14ac:dyDescent="0.2">
      <c r="A138" s="868"/>
      <c r="B138" s="869"/>
      <c r="C138" s="832"/>
      <c r="D138" s="832"/>
      <c r="E138" s="149" t="s">
        <v>118</v>
      </c>
      <c r="F138" s="145" t="s">
        <v>119</v>
      </c>
      <c r="G138" s="58">
        <v>-2.09</v>
      </c>
      <c r="H138" s="58" t="s">
        <v>568</v>
      </c>
      <c r="I138" s="58" t="s">
        <v>27</v>
      </c>
      <c r="J138" s="433">
        <f>IF(H138="Pa",G138,IF(H138="kPa",G138*1000,IF(H138="log-Pa",10^G138,IF(H138="mm Hg",G138*133.322,0))))</f>
        <v>8.1283051616409894E-3</v>
      </c>
      <c r="K138" s="178">
        <f>IF(H138="Pa",LOG(G138),IF(H138="kPa",LOG(G138*1000),IF(H138="log-Pa",G138,IF(H138="mm Hg",LOG(G138*133.322),0))))</f>
        <v>-2.09</v>
      </c>
      <c r="L138" s="433">
        <f>IF(H138="Pa",G138/133.322,IF(H138="kPa",(G138*1000)/133.322,IF(H138="log-Pa",(10^G138)/133.322,IF(H138="mm Hg",G138,0))))</f>
        <v>6.0967470947337945E-5</v>
      </c>
      <c r="M138" s="58">
        <v>25</v>
      </c>
      <c r="N138" s="30" t="s">
        <v>520</v>
      </c>
      <c r="O138" s="100">
        <f>VLOOKUP(N138,References!$B$7:$F$252,5,FALSE)</f>
        <v>14</v>
      </c>
      <c r="S138"/>
    </row>
    <row r="139" spans="1:19" x14ac:dyDescent="0.2">
      <c r="A139" s="868"/>
      <c r="B139" s="869"/>
      <c r="C139" s="832"/>
      <c r="D139" s="832"/>
      <c r="E139" s="149" t="s">
        <v>118</v>
      </c>
      <c r="F139" s="145" t="s">
        <v>119</v>
      </c>
      <c r="G139" s="58">
        <v>-1.07</v>
      </c>
      <c r="H139" s="58" t="s">
        <v>568</v>
      </c>
      <c r="I139" s="58" t="s">
        <v>519</v>
      </c>
      <c r="J139" s="433">
        <f>IF(H139="Pa",G139,IF(H139="kPa",G139*1000,IF(H139="log-Pa",10^G139,IF(H139="mm Hg",G139*133.322,0))))</f>
        <v>8.5113803820237616E-2</v>
      </c>
      <c r="K139" s="178">
        <f>IF(H139="Pa",LOG(G139),IF(H139="kPa",LOG(G139*1000),IF(H139="log-Pa",G139,IF(H139="mm Hg",LOG(G139*133.322),0))))</f>
        <v>-1.07</v>
      </c>
      <c r="L139" s="433">
        <f>IF(H139="Pa",G139/133.322,IF(H139="kPa",(G139*1000)/133.322,IF(H139="log-Pa",(10^G139)/133.322,IF(H139="mm Hg",G139,0))))</f>
        <v>6.3840779331421382E-4</v>
      </c>
      <c r="M139" s="58">
        <v>25</v>
      </c>
      <c r="N139" s="30" t="s">
        <v>520</v>
      </c>
      <c r="O139" s="100">
        <f>VLOOKUP(N139,References!$B$7:$F$252,5,FALSE)</f>
        <v>14</v>
      </c>
      <c r="S139"/>
    </row>
    <row r="140" spans="1:19" x14ac:dyDescent="0.2">
      <c r="A140" s="868"/>
      <c r="B140" s="869"/>
      <c r="C140" s="832"/>
      <c r="D140" s="832"/>
      <c r="E140" s="149" t="s">
        <v>118</v>
      </c>
      <c r="F140" s="145" t="s">
        <v>119</v>
      </c>
      <c r="G140" s="58">
        <v>-0.13</v>
      </c>
      <c r="H140" s="58" t="s">
        <v>568</v>
      </c>
      <c r="I140" s="58" t="s">
        <v>522</v>
      </c>
      <c r="J140" s="433">
        <f>IF(H140="Pa",G140,IF(H140="kPa",G140*1000,IF(H140="log-Pa",10^G140,IF(H140="mm Hg",G140*133.322,0))))</f>
        <v>0.74131024130091738</v>
      </c>
      <c r="K140" s="178">
        <f>IF(H140="Pa",LOG(G140),IF(H140="kPa",LOG(G140*1000),IF(H140="log-Pa",G140,IF(H140="mm Hg",LOG(G140*133.322),0))))</f>
        <v>-0.13</v>
      </c>
      <c r="L140" s="433">
        <f>IF(H140="Pa",G140/133.322,IF(H140="kPa",(G140*1000)/133.322,IF(H140="log-Pa",(10^G140)/133.322,IF(H140="mm Hg",G140,0))))</f>
        <v>5.5602994352088727E-3</v>
      </c>
      <c r="M140" s="58" t="s">
        <v>33</v>
      </c>
      <c r="N140" s="30" t="s">
        <v>523</v>
      </c>
      <c r="O140" s="100">
        <f>VLOOKUP(N140,References!$B$7:$F$252,5,FALSE)</f>
        <v>127</v>
      </c>
      <c r="S140"/>
    </row>
    <row r="141" spans="1:19" x14ac:dyDescent="0.2">
      <c r="A141" s="868"/>
      <c r="B141" s="869"/>
      <c r="C141" s="832"/>
      <c r="D141" s="832"/>
      <c r="E141" s="149" t="s">
        <v>118</v>
      </c>
      <c r="F141" s="145" t="s">
        <v>119</v>
      </c>
      <c r="G141" s="58">
        <v>0.62</v>
      </c>
      <c r="H141" s="58" t="s">
        <v>568</v>
      </c>
      <c r="I141" s="58" t="s">
        <v>524</v>
      </c>
      <c r="J141" s="433">
        <f>IF(H141="Pa",G141,IF(H141="kPa",G141*1000,IF(H141="log-Pa",10^G141,IF(H141="mm Hg",G141*133.322,0))))</f>
        <v>4.1686938347033546</v>
      </c>
      <c r="K141" s="178">
        <f>IF(H141="Pa",LOG(G141),IF(H141="kPa",LOG(G141*1000),IF(H141="log-Pa",G141,IF(H141="mm Hg",LOG(G141*133.322),0))))</f>
        <v>0.62</v>
      </c>
      <c r="L141" s="433">
        <f>IF(H141="Pa",G141/133.322,IF(H141="kPa",(G141*1000)/133.322,IF(H141="log-Pa",(10^G141)/133.322,IF(H141="mm Hg",G141,0))))</f>
        <v>3.1267861528505081E-2</v>
      </c>
      <c r="M141" s="58">
        <v>25</v>
      </c>
      <c r="N141" s="30" t="s">
        <v>525</v>
      </c>
      <c r="O141" s="100">
        <f>VLOOKUP(N141,References!$B$7:$F$252,5,FALSE)</f>
        <v>61</v>
      </c>
      <c r="S141"/>
    </row>
    <row r="142" spans="1:19" x14ac:dyDescent="0.2">
      <c r="A142" s="868"/>
      <c r="B142" s="869"/>
      <c r="C142" s="832"/>
      <c r="D142" s="832"/>
      <c r="E142" s="149" t="s">
        <v>118</v>
      </c>
      <c r="F142" s="145" t="s">
        <v>119</v>
      </c>
      <c r="G142" s="350">
        <v>2.1299999999999999E-2</v>
      </c>
      <c r="H142" s="58" t="s">
        <v>564</v>
      </c>
      <c r="I142" s="58" t="s">
        <v>512</v>
      </c>
      <c r="J142" s="433">
        <f t="shared" si="42"/>
        <v>2.8397586000000001</v>
      </c>
      <c r="K142" s="178">
        <f t="shared" si="43"/>
        <v>0.45328142344709821</v>
      </c>
      <c r="L142" s="433">
        <f t="shared" si="44"/>
        <v>2.1299999999999999E-2</v>
      </c>
      <c r="M142" s="58" t="s">
        <v>33</v>
      </c>
      <c r="N142" s="30" t="s">
        <v>511</v>
      </c>
      <c r="O142" s="100">
        <f>VLOOKUP(N142,References!$B$7:$F$252,5,FALSE)</f>
        <v>36</v>
      </c>
      <c r="S142"/>
    </row>
    <row r="143" spans="1:19" x14ac:dyDescent="0.2">
      <c r="A143" s="868"/>
      <c r="B143" s="869"/>
      <c r="C143" s="832"/>
      <c r="D143" s="832"/>
      <c r="E143" s="149" t="s">
        <v>118</v>
      </c>
      <c r="F143" s="145" t="s">
        <v>119</v>
      </c>
      <c r="G143" s="350">
        <v>9.4000000000000004E-3</v>
      </c>
      <c r="H143" s="58" t="s">
        <v>564</v>
      </c>
      <c r="I143" s="58" t="s">
        <v>514</v>
      </c>
      <c r="J143" s="433">
        <f t="shared" si="42"/>
        <v>1.2532268</v>
      </c>
      <c r="K143" s="178">
        <f t="shared" si="43"/>
        <v>9.8029673608059101E-2</v>
      </c>
      <c r="L143" s="433">
        <f t="shared" si="44"/>
        <v>9.4000000000000004E-3</v>
      </c>
      <c r="M143" s="58" t="s">
        <v>33</v>
      </c>
      <c r="N143" s="30" t="s">
        <v>511</v>
      </c>
      <c r="O143" s="100">
        <f>VLOOKUP(N143,References!$B$7:$F$252,5,FALSE)</f>
        <v>36</v>
      </c>
      <c r="S143"/>
    </row>
    <row r="144" spans="1:19" x14ac:dyDescent="0.2">
      <c r="A144" s="879"/>
      <c r="B144" s="851"/>
      <c r="C144" s="834"/>
      <c r="D144" s="834"/>
      <c r="E144" s="182" t="s">
        <v>118</v>
      </c>
      <c r="F144" s="239" t="s">
        <v>119</v>
      </c>
      <c r="G144" s="327">
        <v>4.7500000000000003E-5</v>
      </c>
      <c r="H144" s="59" t="s">
        <v>564</v>
      </c>
      <c r="I144" s="59" t="s">
        <v>515</v>
      </c>
      <c r="J144" s="469">
        <f t="shared" si="42"/>
        <v>6.3327950000000004E-3</v>
      </c>
      <c r="K144" s="183">
        <f t="shared" si="43"/>
        <v>-2.1984045703667729</v>
      </c>
      <c r="L144" s="469">
        <f t="shared" si="44"/>
        <v>4.7500000000000003E-5</v>
      </c>
      <c r="M144" s="59" t="s">
        <v>33</v>
      </c>
      <c r="N144" s="37" t="s">
        <v>511</v>
      </c>
      <c r="O144" s="100">
        <f>VLOOKUP(N144,References!$B$7:$F$252,5,FALSE)</f>
        <v>36</v>
      </c>
      <c r="S144"/>
    </row>
    <row r="145" spans="1:19" x14ac:dyDescent="0.2">
      <c r="A145" s="867" t="s">
        <v>126</v>
      </c>
      <c r="B145" s="850" t="s">
        <v>127</v>
      </c>
      <c r="C145" s="833">
        <v>664.1</v>
      </c>
      <c r="D145" s="833" t="s">
        <v>128</v>
      </c>
      <c r="E145" s="150" t="s">
        <v>127</v>
      </c>
      <c r="F145" s="151" t="s">
        <v>128</v>
      </c>
      <c r="G145" s="57">
        <v>-1.81</v>
      </c>
      <c r="H145" s="57" t="s">
        <v>568</v>
      </c>
      <c r="I145" s="57" t="s">
        <v>519</v>
      </c>
      <c r="J145" s="433">
        <f t="shared" ref="J145:J253" si="54">IF(H145="Pa",G145,IF(H145="log-Pa",10^G145,IF(H145="mm Hg",G145*133.322,0)))</f>
        <v>1.5488166189124804E-2</v>
      </c>
      <c r="K145" s="181">
        <f t="shared" ref="K145:K253" si="55">IF(H145="Pa",LOG(G145),IF(H145="log-Pa",G145,IF(H145="mm Hg",LOG(G145*133.322),0)))</f>
        <v>-1.81</v>
      </c>
      <c r="L145" s="433">
        <f t="shared" ref="L145:L253" si="56">IF(H145="Pa",G145/133.322,IF(H145="log-Pa",(10^G145)/133.322,IF(H145="mm Hg",G145,0)))</f>
        <v>1.1617112096371795E-4</v>
      </c>
      <c r="M145" s="57">
        <v>25</v>
      </c>
      <c r="N145" s="41" t="s">
        <v>520</v>
      </c>
      <c r="O145" s="121">
        <f>VLOOKUP(N145,References!$B$7:$F$252,5,FALSE)</f>
        <v>14</v>
      </c>
      <c r="S145"/>
    </row>
    <row r="146" spans="1:19" x14ac:dyDescent="0.2">
      <c r="A146" s="868"/>
      <c r="B146" s="869"/>
      <c r="C146" s="832"/>
      <c r="D146" s="832"/>
      <c r="E146" s="149" t="s">
        <v>127</v>
      </c>
      <c r="F146" s="145" t="s">
        <v>128</v>
      </c>
      <c r="G146" s="58">
        <v>-0.56999999999999995</v>
      </c>
      <c r="H146" s="58" t="s">
        <v>568</v>
      </c>
      <c r="I146" s="58" t="s">
        <v>522</v>
      </c>
      <c r="J146" s="433">
        <f t="shared" si="54"/>
        <v>0.26915348039269155</v>
      </c>
      <c r="K146" s="178">
        <f t="shared" si="55"/>
        <v>-0.56999999999999995</v>
      </c>
      <c r="L146" s="433">
        <f t="shared" si="56"/>
        <v>2.018822702874931E-3</v>
      </c>
      <c r="M146" s="58" t="s">
        <v>33</v>
      </c>
      <c r="N146" s="30" t="s">
        <v>523</v>
      </c>
      <c r="O146" s="100">
        <f>VLOOKUP(N146,References!$B$7:$F$252,5,FALSE)</f>
        <v>127</v>
      </c>
      <c r="S146"/>
    </row>
    <row r="147" spans="1:19" x14ac:dyDescent="0.2">
      <c r="A147" s="868"/>
      <c r="B147" s="869"/>
      <c r="C147" s="832"/>
      <c r="D147" s="832"/>
      <c r="E147" s="149" t="s">
        <v>127</v>
      </c>
      <c r="F147" s="145" t="s">
        <v>128</v>
      </c>
      <c r="G147" s="354">
        <v>1.5800000000000002E-2</v>
      </c>
      <c r="H147" s="58" t="s">
        <v>564</v>
      </c>
      <c r="I147" s="58" t="s">
        <v>512</v>
      </c>
      <c r="J147" s="433">
        <f t="shared" si="54"/>
        <v>2.1064876000000003</v>
      </c>
      <c r="K147" s="178">
        <f t="shared" si="55"/>
        <v>0.32355890696278317</v>
      </c>
      <c r="L147" s="433">
        <f t="shared" si="56"/>
        <v>1.5800000000000002E-2</v>
      </c>
      <c r="M147" s="58" t="s">
        <v>33</v>
      </c>
      <c r="N147" s="30" t="s">
        <v>511</v>
      </c>
      <c r="O147" s="100">
        <f>VLOOKUP(N147,References!$B$7:$F$252,5,FALSE)</f>
        <v>36</v>
      </c>
      <c r="S147"/>
    </row>
    <row r="148" spans="1:19" x14ac:dyDescent="0.2">
      <c r="A148" s="868"/>
      <c r="B148" s="869"/>
      <c r="C148" s="832"/>
      <c r="D148" s="832"/>
      <c r="E148" s="149" t="s">
        <v>127</v>
      </c>
      <c r="F148" s="145" t="s">
        <v>128</v>
      </c>
      <c r="G148" s="354">
        <v>3.5899999999999999E-3</v>
      </c>
      <c r="H148" s="58" t="s">
        <v>564</v>
      </c>
      <c r="I148" s="58" t="s">
        <v>514</v>
      </c>
      <c r="J148" s="433">
        <f t="shared" si="54"/>
        <v>0.47862598000000001</v>
      </c>
      <c r="K148" s="178">
        <f t="shared" si="55"/>
        <v>-0.32000373141332039</v>
      </c>
      <c r="L148" s="433">
        <f t="shared" si="56"/>
        <v>3.5899999999999999E-3</v>
      </c>
      <c r="M148" s="58" t="s">
        <v>33</v>
      </c>
      <c r="N148" s="30" t="s">
        <v>511</v>
      </c>
      <c r="O148" s="100">
        <f>VLOOKUP(N148,References!$B$7:$F$252,5,FALSE)</f>
        <v>36</v>
      </c>
      <c r="S148"/>
    </row>
    <row r="149" spans="1:19" x14ac:dyDescent="0.2">
      <c r="A149" s="879"/>
      <c r="B149" s="851"/>
      <c r="C149" s="834"/>
      <c r="D149" s="834"/>
      <c r="E149" s="182" t="s">
        <v>127</v>
      </c>
      <c r="F149" s="239" t="s">
        <v>128</v>
      </c>
      <c r="G149" s="327">
        <v>6.6E-4</v>
      </c>
      <c r="H149" s="59" t="s">
        <v>564</v>
      </c>
      <c r="I149" s="59" t="s">
        <v>515</v>
      </c>
      <c r="J149" s="469">
        <f t="shared" si="54"/>
        <v>8.7992520000000005E-2</v>
      </c>
      <c r="K149" s="183">
        <f t="shared" si="55"/>
        <v>-1.0555542444497708</v>
      </c>
      <c r="L149" s="469">
        <f t="shared" si="56"/>
        <v>6.6E-4</v>
      </c>
      <c r="M149" s="59" t="s">
        <v>33</v>
      </c>
      <c r="N149" s="37" t="s">
        <v>511</v>
      </c>
      <c r="O149" s="122">
        <f>VLOOKUP(N149,References!$B$7:$F$252,5,FALSE)</f>
        <v>36</v>
      </c>
      <c r="S149"/>
    </row>
    <row r="150" spans="1:19" x14ac:dyDescent="0.2">
      <c r="A150" s="868" t="s">
        <v>134</v>
      </c>
      <c r="B150" s="869" t="s">
        <v>135</v>
      </c>
      <c r="C150" s="832">
        <v>714.1</v>
      </c>
      <c r="D150" s="832" t="s">
        <v>136</v>
      </c>
      <c r="E150" s="149" t="s">
        <v>135</v>
      </c>
      <c r="F150" s="145" t="s">
        <v>136</v>
      </c>
      <c r="G150" s="58">
        <v>-0.99</v>
      </c>
      <c r="H150" s="58" t="s">
        <v>568</v>
      </c>
      <c r="I150" s="58" t="s">
        <v>522</v>
      </c>
      <c r="J150" s="433">
        <f t="shared" si="54"/>
        <v>0.10232929922807538</v>
      </c>
      <c r="K150" s="178">
        <f t="shared" si="55"/>
        <v>-0.99</v>
      </c>
      <c r="L150" s="433">
        <f t="shared" si="56"/>
        <v>7.6753498468426344E-4</v>
      </c>
      <c r="M150" s="58" t="s">
        <v>33</v>
      </c>
      <c r="N150" s="30" t="s">
        <v>523</v>
      </c>
      <c r="O150" s="100">
        <f>VLOOKUP(N150,References!$B$7:$F$252,5,FALSE)</f>
        <v>127</v>
      </c>
      <c r="S150"/>
    </row>
    <row r="151" spans="1:19" x14ac:dyDescent="0.2">
      <c r="A151" s="868"/>
      <c r="B151" s="869"/>
      <c r="C151" s="832"/>
      <c r="D151" s="832"/>
      <c r="E151" s="149" t="s">
        <v>135</v>
      </c>
      <c r="F151" s="145" t="s">
        <v>136</v>
      </c>
      <c r="G151" s="58">
        <v>0.22</v>
      </c>
      <c r="H151" s="58" t="s">
        <v>568</v>
      </c>
      <c r="I151" s="58" t="s">
        <v>524</v>
      </c>
      <c r="J151" s="433">
        <f t="shared" si="54"/>
        <v>1.6595869074375607</v>
      </c>
      <c r="K151" s="178">
        <f t="shared" si="55"/>
        <v>0.22</v>
      </c>
      <c r="L151" s="433">
        <f t="shared" si="56"/>
        <v>1.2447959882371707E-2</v>
      </c>
      <c r="M151" s="58">
        <v>25</v>
      </c>
      <c r="N151" s="30" t="s">
        <v>525</v>
      </c>
      <c r="O151" s="100">
        <f>VLOOKUP(N151,References!$B$7:$F$252,5,FALSE)</f>
        <v>61</v>
      </c>
      <c r="S151"/>
    </row>
    <row r="152" spans="1:19" x14ac:dyDescent="0.2">
      <c r="A152" s="868"/>
      <c r="B152" s="869"/>
      <c r="C152" s="832"/>
      <c r="D152" s="832"/>
      <c r="E152" s="149" t="s">
        <v>135</v>
      </c>
      <c r="F152" s="145" t="s">
        <v>136</v>
      </c>
      <c r="G152" s="354">
        <v>3.8500000000000001E-3</v>
      </c>
      <c r="H152" s="58" t="s">
        <v>564</v>
      </c>
      <c r="I152" s="58" t="s">
        <v>512</v>
      </c>
      <c r="J152" s="433">
        <f t="shared" si="54"/>
        <v>0.51328970000000007</v>
      </c>
      <c r="K152" s="178">
        <f t="shared" si="55"/>
        <v>-0.28963745048313883</v>
      </c>
      <c r="L152" s="433">
        <f t="shared" si="56"/>
        <v>3.8500000000000001E-3</v>
      </c>
      <c r="M152" s="58" t="s">
        <v>33</v>
      </c>
      <c r="N152" s="30" t="s">
        <v>511</v>
      </c>
      <c r="O152" s="100">
        <f>VLOOKUP(N152,References!$B$7:$F$252,5,FALSE)</f>
        <v>36</v>
      </c>
      <c r="S152"/>
    </row>
    <row r="153" spans="1:19" x14ac:dyDescent="0.2">
      <c r="A153" s="868"/>
      <c r="B153" s="869"/>
      <c r="C153" s="832"/>
      <c r="D153" s="832"/>
      <c r="E153" s="149" t="s">
        <v>135</v>
      </c>
      <c r="F153" s="145" t="s">
        <v>136</v>
      </c>
      <c r="G153" s="354">
        <v>1.3699999999999999E-3</v>
      </c>
      <c r="H153" s="58" t="s">
        <v>564</v>
      </c>
      <c r="I153" s="58" t="s">
        <v>514</v>
      </c>
      <c r="J153" s="433">
        <f t="shared" si="54"/>
        <v>0.18265113999999999</v>
      </c>
      <c r="K153" s="178">
        <f t="shared" si="55"/>
        <v>-0.73837761283523284</v>
      </c>
      <c r="L153" s="433">
        <f t="shared" si="56"/>
        <v>1.3699999999999999E-3</v>
      </c>
      <c r="M153" s="58" t="s">
        <v>33</v>
      </c>
      <c r="N153" s="30" t="s">
        <v>511</v>
      </c>
      <c r="O153" s="100">
        <f>VLOOKUP(N153,References!$B$7:$F$252,5,FALSE)</f>
        <v>36</v>
      </c>
      <c r="S153"/>
    </row>
    <row r="154" spans="1:19" ht="17" thickBot="1" x14ac:dyDescent="0.25">
      <c r="A154" s="880"/>
      <c r="B154" s="881"/>
      <c r="C154" s="845"/>
      <c r="D154" s="845"/>
      <c r="E154" s="188" t="s">
        <v>135</v>
      </c>
      <c r="F154" s="146" t="s">
        <v>136</v>
      </c>
      <c r="G154" s="324">
        <v>1.0200000000000001E-3</v>
      </c>
      <c r="H154" s="138" t="s">
        <v>564</v>
      </c>
      <c r="I154" s="138" t="s">
        <v>515</v>
      </c>
      <c r="J154" s="604">
        <f t="shared" si="54"/>
        <v>0.13598844000000002</v>
      </c>
      <c r="K154" s="284">
        <f t="shared" si="55"/>
        <v>-0.86649800822972189</v>
      </c>
      <c r="L154" s="604">
        <f t="shared" si="56"/>
        <v>1.0200000000000001E-3</v>
      </c>
      <c r="M154" s="138" t="s">
        <v>33</v>
      </c>
      <c r="N154" s="210" t="s">
        <v>511</v>
      </c>
      <c r="O154" s="101">
        <f>VLOOKUP(N154,References!$B$7:$F$252,5,FALSE)</f>
        <v>36</v>
      </c>
      <c r="S154"/>
    </row>
    <row r="155" spans="1:19" ht="17" thickBot="1" x14ac:dyDescent="0.25">
      <c r="A155" s="78" t="s">
        <v>141</v>
      </c>
      <c r="B155" s="158" t="s">
        <v>142</v>
      </c>
      <c r="C155" s="81"/>
      <c r="D155" s="81"/>
      <c r="E155" s="81"/>
      <c r="F155" s="81"/>
      <c r="G155" s="329"/>
      <c r="H155" s="81"/>
      <c r="I155" s="81"/>
      <c r="J155" s="594"/>
      <c r="K155" s="249"/>
      <c r="L155" s="594"/>
      <c r="M155" s="81"/>
      <c r="N155" s="81"/>
      <c r="O155" s="96"/>
      <c r="S155"/>
    </row>
    <row r="156" spans="1:19" x14ac:dyDescent="0.2">
      <c r="A156" s="853" t="s">
        <v>143</v>
      </c>
      <c r="B156" s="832" t="s">
        <v>144</v>
      </c>
      <c r="C156" s="832">
        <v>150.07</v>
      </c>
      <c r="D156" s="832" t="s">
        <v>145</v>
      </c>
      <c r="E156" s="58" t="s">
        <v>144</v>
      </c>
      <c r="F156" s="58" t="s">
        <v>145</v>
      </c>
      <c r="G156" s="145">
        <v>0.1</v>
      </c>
      <c r="H156" s="134" t="s">
        <v>564</v>
      </c>
      <c r="I156" s="134" t="s">
        <v>515</v>
      </c>
      <c r="J156" s="433">
        <f t="shared" ref="J156:J157" si="57">IF(H156="Pa",G156,IF(H156="log-Pa",10^G156,IF(H156="mm Hg",G156*133.322,0)))</f>
        <v>13.3322</v>
      </c>
      <c r="K156" s="178">
        <f t="shared" ref="K156:K157" si="58">IF(H156="Pa",LOG(G156),IF(H156="log-Pa",G156,IF(H156="mm Hg",LOG(G156*133.322),0)))</f>
        <v>1.1249018200083605</v>
      </c>
      <c r="L156" s="433">
        <f t="shared" ref="L156:L157" si="59">IF(H156="Pa",G156/133.322,IF(H156="log-Pa",(10^G156)/133.322,IF(H156="mm Hg",G156,0)))</f>
        <v>0.1</v>
      </c>
      <c r="M156" s="58" t="s">
        <v>33</v>
      </c>
      <c r="N156" s="30" t="s">
        <v>511</v>
      </c>
      <c r="O156" s="100">
        <f>VLOOKUP(N156,References!$B$7:$F$252,5,FALSE)</f>
        <v>36</v>
      </c>
      <c r="P156" s="194"/>
      <c r="Q156" s="194"/>
      <c r="S156"/>
    </row>
    <row r="157" spans="1:19" x14ac:dyDescent="0.2">
      <c r="A157" s="853"/>
      <c r="B157" s="832"/>
      <c r="C157" s="832"/>
      <c r="D157" s="832"/>
      <c r="E157" s="58" t="s">
        <v>144</v>
      </c>
      <c r="F157" s="58" t="s">
        <v>145</v>
      </c>
      <c r="G157" s="145">
        <v>1.1399999999999999</v>
      </c>
      <c r="H157" s="134" t="s">
        <v>564</v>
      </c>
      <c r="I157" s="134" t="s">
        <v>514</v>
      </c>
      <c r="J157" s="433">
        <f t="shared" si="57"/>
        <v>151.98707999999999</v>
      </c>
      <c r="K157" s="178">
        <f t="shared" si="58"/>
        <v>2.181806671344833</v>
      </c>
      <c r="L157" s="433">
        <f t="shared" si="59"/>
        <v>1.1399999999999999</v>
      </c>
      <c r="M157" s="58" t="s">
        <v>33</v>
      </c>
      <c r="N157" s="30" t="s">
        <v>511</v>
      </c>
      <c r="O157" s="100">
        <f>VLOOKUP(N157,References!$B$7:$F$252,5,FALSE)</f>
        <v>36</v>
      </c>
      <c r="P157" s="194"/>
      <c r="Q157" s="194"/>
      <c r="S157"/>
    </row>
    <row r="158" spans="1:19" x14ac:dyDescent="0.2">
      <c r="A158" s="854"/>
      <c r="B158" s="834"/>
      <c r="C158" s="834"/>
      <c r="D158" s="834"/>
      <c r="E158" s="59" t="s">
        <v>144</v>
      </c>
      <c r="F158" s="59" t="s">
        <v>145</v>
      </c>
      <c r="G158" s="239">
        <v>12</v>
      </c>
      <c r="H158" s="195" t="s">
        <v>564</v>
      </c>
      <c r="I158" s="195" t="s">
        <v>514</v>
      </c>
      <c r="J158" s="469">
        <f t="shared" ref="J158" si="60">IF(H158="Pa",G158,IF(H158="log-Pa",10^G158,IF(H158="mm Hg",G158*133.322,0)))</f>
        <v>1599.864</v>
      </c>
      <c r="K158" s="183">
        <f t="shared" ref="K158" si="61">IF(H158="Pa",LOG(G158),IF(H158="log-Pa",G158,IF(H158="mm Hg",LOG(G158*133.322),0)))</f>
        <v>3.2040830660559854</v>
      </c>
      <c r="L158" s="469">
        <f t="shared" ref="L158" si="62">IF(H158="Pa",G158/133.322,IF(H158="log-Pa",(10^G158)/133.322,IF(H158="mm Hg",G158,0)))</f>
        <v>12</v>
      </c>
      <c r="M158" s="59">
        <v>60</v>
      </c>
      <c r="N158" s="37" t="s">
        <v>575</v>
      </c>
      <c r="O158" s="122">
        <f>VLOOKUP(N158,References!$B$7:$F$252,5,FALSE)</f>
        <v>39</v>
      </c>
      <c r="P158" s="194"/>
      <c r="Q158" s="194"/>
      <c r="S158"/>
    </row>
    <row r="159" spans="1:19" x14ac:dyDescent="0.2">
      <c r="A159" s="295" t="s">
        <v>151</v>
      </c>
      <c r="B159" s="59" t="s">
        <v>152</v>
      </c>
      <c r="C159" s="239">
        <v>200.08</v>
      </c>
      <c r="D159" s="59" t="s">
        <v>153</v>
      </c>
      <c r="E159" s="131" t="s">
        <v>152</v>
      </c>
      <c r="F159" s="131" t="s">
        <v>153</v>
      </c>
      <c r="G159" s="692">
        <v>3.8899999999999998E-3</v>
      </c>
      <c r="H159" s="142" t="s">
        <v>564</v>
      </c>
      <c r="I159" s="142" t="s">
        <v>515</v>
      </c>
      <c r="J159" s="525">
        <f t="shared" ref="J159" si="63">IF(H159="Pa",G159,IF(H159="log-Pa",10^G159,IF(H159="mm Hg",G159*133.322,0)))</f>
        <v>0.51862257999999994</v>
      </c>
      <c r="K159" s="185">
        <f t="shared" ref="K159" si="64">IF(H159="Pa",LOG(G159),IF(H159="log-Pa",G159,IF(H159="mm Hg",LOG(G159*133.322),0)))</f>
        <v>-0.28514857866593185</v>
      </c>
      <c r="L159" s="525">
        <f t="shared" ref="L159" si="65">IF(H159="Pa",G159/133.322,IF(H159="log-Pa",(10^G159)/133.322,IF(H159="mm Hg",G159,0)))</f>
        <v>3.8899999999999998E-3</v>
      </c>
      <c r="M159" s="131" t="s">
        <v>33</v>
      </c>
      <c r="N159" s="42" t="s">
        <v>511</v>
      </c>
      <c r="O159" s="124">
        <f>VLOOKUP(N159,References!$B$7:$F$252,5,FALSE)</f>
        <v>36</v>
      </c>
      <c r="P159" s="194"/>
      <c r="Q159" s="194"/>
      <c r="S159"/>
    </row>
    <row r="160" spans="1:19" x14ac:dyDescent="0.2">
      <c r="A160" s="849" t="s">
        <v>157</v>
      </c>
      <c r="B160" s="833" t="s">
        <v>158</v>
      </c>
      <c r="C160" s="833">
        <v>250.09</v>
      </c>
      <c r="D160" s="833" t="s">
        <v>159</v>
      </c>
      <c r="E160" s="57" t="s">
        <v>158</v>
      </c>
      <c r="F160" s="57" t="s">
        <v>159</v>
      </c>
      <c r="G160" s="730">
        <v>2.0000000000000002E-5</v>
      </c>
      <c r="H160" s="200" t="s">
        <v>564</v>
      </c>
      <c r="I160" s="200" t="s">
        <v>515</v>
      </c>
      <c r="J160" s="694">
        <f t="shared" ref="J160:J161" si="66">IF(H160="Pa",G160,IF(H160="log-Pa",10^G160,IF(H160="mm Hg",G160*133.322,0)))</f>
        <v>2.6664400000000004E-3</v>
      </c>
      <c r="K160" s="181">
        <f t="shared" ref="K160:K161" si="67">IF(H160="Pa",LOG(G160),IF(H160="log-Pa",G160,IF(H160="mm Hg",LOG(G160*133.322),0)))</f>
        <v>-2.5740681843276585</v>
      </c>
      <c r="L160" s="694">
        <f t="shared" ref="L160:L161" si="68">IF(H160="Pa",G160/133.322,IF(H160="log-Pa",(10^G160)/133.322,IF(H160="mm Hg",G160,0)))</f>
        <v>2.0000000000000002E-5</v>
      </c>
      <c r="M160" s="57" t="s">
        <v>33</v>
      </c>
      <c r="N160" s="41" t="s">
        <v>511</v>
      </c>
      <c r="O160" s="121">
        <f>VLOOKUP(N160,References!$B$7:$F$252,5,FALSE)</f>
        <v>36</v>
      </c>
      <c r="P160" s="194"/>
      <c r="Q160" s="194"/>
      <c r="S160"/>
    </row>
    <row r="161" spans="1:19" x14ac:dyDescent="0.2">
      <c r="A161" s="847"/>
      <c r="B161" s="834"/>
      <c r="C161" s="834"/>
      <c r="D161" s="834"/>
      <c r="E161" s="59" t="s">
        <v>158</v>
      </c>
      <c r="F161" s="59" t="s">
        <v>159</v>
      </c>
      <c r="G161" s="239">
        <v>0.26</v>
      </c>
      <c r="H161" s="195" t="s">
        <v>564</v>
      </c>
      <c r="I161" s="195" t="s">
        <v>512</v>
      </c>
      <c r="J161" s="469">
        <f t="shared" si="66"/>
        <v>34.663720000000005</v>
      </c>
      <c r="K161" s="183">
        <f t="shared" si="67"/>
        <v>1.5398751679791784</v>
      </c>
      <c r="L161" s="469">
        <f t="shared" si="68"/>
        <v>0.26</v>
      </c>
      <c r="M161" s="59" t="s">
        <v>33</v>
      </c>
      <c r="N161" s="37" t="s">
        <v>511</v>
      </c>
      <c r="O161" s="122">
        <f>VLOOKUP(N161,References!$B$7:$F$252,5,FALSE)</f>
        <v>36</v>
      </c>
      <c r="P161" s="194"/>
      <c r="Q161" s="194"/>
      <c r="S161"/>
    </row>
    <row r="162" spans="1:19" x14ac:dyDescent="0.2">
      <c r="A162" s="868" t="s">
        <v>163</v>
      </c>
      <c r="B162" s="869" t="s">
        <v>164</v>
      </c>
      <c r="C162" s="832">
        <v>300.10000000000002</v>
      </c>
      <c r="D162" s="832" t="s">
        <v>165</v>
      </c>
      <c r="E162" s="149" t="s">
        <v>164</v>
      </c>
      <c r="F162" s="145" t="s">
        <v>165</v>
      </c>
      <c r="G162" s="58">
        <v>2.8</v>
      </c>
      <c r="H162" s="58" t="s">
        <v>568</v>
      </c>
      <c r="I162" s="58" t="s">
        <v>522</v>
      </c>
      <c r="J162" s="433">
        <f t="shared" si="54"/>
        <v>630.95734448019323</v>
      </c>
      <c r="K162" s="178">
        <f t="shared" si="55"/>
        <v>2.8</v>
      </c>
      <c r="L162" s="433">
        <f t="shared" si="56"/>
        <v>4.7325823531014626</v>
      </c>
      <c r="M162" s="58" t="s">
        <v>33</v>
      </c>
      <c r="N162" s="30" t="s">
        <v>523</v>
      </c>
      <c r="O162" s="100">
        <f>VLOOKUP(N162,References!$B$7:$F$252,5,FALSE)</f>
        <v>127</v>
      </c>
      <c r="S162"/>
    </row>
    <row r="163" spans="1:19" x14ac:dyDescent="0.2">
      <c r="A163" s="868"/>
      <c r="B163" s="869"/>
      <c r="C163" s="832"/>
      <c r="D163" s="832"/>
      <c r="E163" s="149" t="s">
        <v>164</v>
      </c>
      <c r="F163" s="145" t="s">
        <v>165</v>
      </c>
      <c r="G163" s="354">
        <v>1.4899999999999999E-6</v>
      </c>
      <c r="H163" s="58" t="s">
        <v>562</v>
      </c>
      <c r="I163" s="58" t="s">
        <v>513</v>
      </c>
      <c r="J163" s="433">
        <f>IF(H163="Pa",G163,IF(H163="log-Pa",10^G163,IF(H163="mm Hg",G163*133.322,0)))</f>
        <v>1.4899999999999999E-6</v>
      </c>
      <c r="K163" s="178">
        <f>IF(H163="Pa",LOG(G163),IF(H163="log-Pa",G163,IF(H163="mm Hg",LOG(G163*133.322),0)))</f>
        <v>-5.826813731587726</v>
      </c>
      <c r="L163" s="433">
        <f>IF(H163="Pa",G163/133.322,IF(H163="log-Pa",(10^G163)/133.322,IF(H163="mm Hg",G163,0)))</f>
        <v>1.1175949955746237E-8</v>
      </c>
      <c r="M163" s="58">
        <v>25</v>
      </c>
      <c r="N163" s="30" t="s">
        <v>384</v>
      </c>
      <c r="O163" s="100">
        <f>VLOOKUP(N163,References!$B$7:$F$252,5,FALSE)</f>
        <v>123</v>
      </c>
      <c r="S163"/>
    </row>
    <row r="164" spans="1:19" x14ac:dyDescent="0.2">
      <c r="A164" s="868"/>
      <c r="B164" s="869"/>
      <c r="C164" s="832"/>
      <c r="D164" s="832"/>
      <c r="E164" s="149" t="s">
        <v>164</v>
      </c>
      <c r="F164" s="145" t="s">
        <v>165</v>
      </c>
      <c r="G164" s="58">
        <v>2.12</v>
      </c>
      <c r="H164" s="58" t="s">
        <v>568</v>
      </c>
      <c r="I164" s="58" t="s">
        <v>524</v>
      </c>
      <c r="J164" s="433">
        <f t="shared" si="54"/>
        <v>131.82567385564084</v>
      </c>
      <c r="K164" s="178">
        <f t="shared" si="55"/>
        <v>2.12</v>
      </c>
      <c r="L164" s="433">
        <f t="shared" si="56"/>
        <v>0.98877659992830025</v>
      </c>
      <c r="M164" s="58">
        <v>25</v>
      </c>
      <c r="N164" s="30" t="s">
        <v>525</v>
      </c>
      <c r="O164" s="100">
        <f>VLOOKUP(N164,References!$B$7:$F$252,5,FALSE)</f>
        <v>61</v>
      </c>
      <c r="S164"/>
    </row>
    <row r="165" spans="1:19" x14ac:dyDescent="0.2">
      <c r="A165" s="868"/>
      <c r="B165" s="869"/>
      <c r="C165" s="832"/>
      <c r="D165" s="832"/>
      <c r="E165" s="149" t="s">
        <v>164</v>
      </c>
      <c r="F165" s="145" t="s">
        <v>165</v>
      </c>
      <c r="G165" s="350">
        <v>0.20799999999999999</v>
      </c>
      <c r="H165" s="58" t="s">
        <v>564</v>
      </c>
      <c r="I165" s="58" t="s">
        <v>512</v>
      </c>
      <c r="J165" s="433">
        <f t="shared" si="54"/>
        <v>27.730975999999998</v>
      </c>
      <c r="K165" s="178">
        <f t="shared" si="55"/>
        <v>1.442965154971122</v>
      </c>
      <c r="L165" s="433">
        <f t="shared" si="56"/>
        <v>0.20799999999999999</v>
      </c>
      <c r="M165" s="58" t="s">
        <v>33</v>
      </c>
      <c r="N165" s="30" t="s">
        <v>511</v>
      </c>
      <c r="O165" s="100">
        <f>VLOOKUP(N165,References!$B$7:$F$252,5,FALSE)</f>
        <v>36</v>
      </c>
      <c r="S165"/>
    </row>
    <row r="166" spans="1:19" x14ac:dyDescent="0.2">
      <c r="A166" s="879"/>
      <c r="B166" s="851"/>
      <c r="C166" s="834"/>
      <c r="D166" s="834"/>
      <c r="E166" s="182" t="s">
        <v>164</v>
      </c>
      <c r="F166" s="239" t="s">
        <v>165</v>
      </c>
      <c r="G166" s="327">
        <v>1.14E-8</v>
      </c>
      <c r="H166" s="59" t="s">
        <v>564</v>
      </c>
      <c r="I166" s="59" t="s">
        <v>515</v>
      </c>
      <c r="J166" s="469">
        <f t="shared" si="54"/>
        <v>1.5198708E-6</v>
      </c>
      <c r="K166" s="183">
        <f t="shared" si="55"/>
        <v>-5.818193328655167</v>
      </c>
      <c r="L166" s="469">
        <f t="shared" si="56"/>
        <v>1.14E-8</v>
      </c>
      <c r="M166" s="59" t="s">
        <v>33</v>
      </c>
      <c r="N166" s="37" t="s">
        <v>511</v>
      </c>
      <c r="O166" s="122">
        <f>VLOOKUP(N166,References!$B$7:$F$252,5,FALSE)</f>
        <v>36</v>
      </c>
      <c r="S166"/>
    </row>
    <row r="167" spans="1:19" x14ac:dyDescent="0.2">
      <c r="A167" s="246" t="s">
        <v>170</v>
      </c>
      <c r="B167" s="182" t="s">
        <v>171</v>
      </c>
      <c r="C167" s="239">
        <v>350.1</v>
      </c>
      <c r="D167" s="239" t="s">
        <v>172</v>
      </c>
      <c r="E167" s="182" t="s">
        <v>171</v>
      </c>
      <c r="F167" s="239" t="s">
        <v>172</v>
      </c>
      <c r="G167" s="327">
        <v>2.8200000000000001E-7</v>
      </c>
      <c r="H167" s="59" t="s">
        <v>564</v>
      </c>
      <c r="I167" s="59" t="s">
        <v>515</v>
      </c>
      <c r="J167" s="469">
        <f t="shared" si="54"/>
        <v>3.7596804000000003E-5</v>
      </c>
      <c r="K167" s="183">
        <f t="shared" si="55"/>
        <v>-4.4248490716722788</v>
      </c>
      <c r="L167" s="469">
        <f t="shared" si="56"/>
        <v>2.8200000000000001E-7</v>
      </c>
      <c r="M167" s="59" t="s">
        <v>33</v>
      </c>
      <c r="N167" s="37" t="s">
        <v>511</v>
      </c>
      <c r="O167" s="122">
        <f>VLOOKUP(N167,References!$B$7:$F$252,5,FALSE)</f>
        <v>36</v>
      </c>
      <c r="S167"/>
    </row>
    <row r="168" spans="1:19" x14ac:dyDescent="0.2">
      <c r="A168" s="867" t="s">
        <v>176</v>
      </c>
      <c r="B168" s="850" t="s">
        <v>177</v>
      </c>
      <c r="C168" s="833">
        <v>400.1</v>
      </c>
      <c r="D168" s="833" t="s">
        <v>178</v>
      </c>
      <c r="E168" s="150" t="s">
        <v>177</v>
      </c>
      <c r="F168" s="151" t="s">
        <v>178</v>
      </c>
      <c r="G168" s="57">
        <v>0.49</v>
      </c>
      <c r="H168" s="57" t="s">
        <v>568</v>
      </c>
      <c r="I168" s="57" t="s">
        <v>519</v>
      </c>
      <c r="J168" s="433">
        <f t="shared" si="54"/>
        <v>3.0902954325135905</v>
      </c>
      <c r="K168" s="181">
        <f t="shared" si="55"/>
        <v>0.49</v>
      </c>
      <c r="L168" s="433">
        <f t="shared" si="56"/>
        <v>2.3179185974659774E-2</v>
      </c>
      <c r="M168" s="57">
        <v>25</v>
      </c>
      <c r="N168" s="41" t="s">
        <v>520</v>
      </c>
      <c r="O168" s="121">
        <f>VLOOKUP(N168,References!$B$7:$F$252,5,FALSE)</f>
        <v>14</v>
      </c>
      <c r="S168"/>
    </row>
    <row r="169" spans="1:19" x14ac:dyDescent="0.2">
      <c r="A169" s="868"/>
      <c r="B169" s="869"/>
      <c r="C169" s="832"/>
      <c r="D169" s="832"/>
      <c r="E169" s="149" t="s">
        <v>177</v>
      </c>
      <c r="F169" s="145" t="s">
        <v>178</v>
      </c>
      <c r="G169" s="58">
        <v>1.77</v>
      </c>
      <c r="H169" s="58" t="s">
        <v>568</v>
      </c>
      <c r="I169" s="58" t="s">
        <v>522</v>
      </c>
      <c r="J169" s="433">
        <f>IF(H169="Pa",G169,IF(H169="log-Pa",10^G169,IF(H169="mm Hg",G169*133.322,0)))</f>
        <v>58.884365535558949</v>
      </c>
      <c r="K169" s="178">
        <f>IF(H169="Pa",LOG(G169),IF(H169="log-Pa",G169,IF(H169="mm Hg",LOG(G169*133.322),0)))</f>
        <v>1.77</v>
      </c>
      <c r="L169" s="433">
        <f>IF(H169="Pa",G169/133.322,IF(H169="log-Pa",(10^G169)/133.322,IF(H169="mm Hg",G169,0)))</f>
        <v>0.44167028349078885</v>
      </c>
      <c r="M169" s="58" t="s">
        <v>33</v>
      </c>
      <c r="N169" s="30" t="s">
        <v>523</v>
      </c>
      <c r="O169" s="100">
        <f>VLOOKUP(N169,References!$B$7:$F$252,5,FALSE)</f>
        <v>127</v>
      </c>
      <c r="S169"/>
    </row>
    <row r="170" spans="1:19" x14ac:dyDescent="0.2">
      <c r="A170" s="868"/>
      <c r="B170" s="869"/>
      <c r="C170" s="832"/>
      <c r="D170" s="832"/>
      <c r="E170" s="149" t="s">
        <v>177</v>
      </c>
      <c r="F170" s="145" t="s">
        <v>178</v>
      </c>
      <c r="G170" s="58">
        <v>1.68</v>
      </c>
      <c r="H170" s="58" t="s">
        <v>568</v>
      </c>
      <c r="I170" s="58" t="s">
        <v>524</v>
      </c>
      <c r="J170" s="433">
        <f t="shared" si="54"/>
        <v>47.863009232263856</v>
      </c>
      <c r="K170" s="178">
        <f t="shared" si="55"/>
        <v>1.68</v>
      </c>
      <c r="L170" s="433">
        <f t="shared" si="56"/>
        <v>0.35900308450416174</v>
      </c>
      <c r="M170" s="58">
        <v>25</v>
      </c>
      <c r="N170" s="30" t="s">
        <v>525</v>
      </c>
      <c r="O170" s="100">
        <f>VLOOKUP(N170,References!$B$7:$F$252,5,FALSE)</f>
        <v>61</v>
      </c>
      <c r="S170"/>
    </row>
    <row r="171" spans="1:19" x14ac:dyDescent="0.2">
      <c r="A171" s="868"/>
      <c r="B171" s="869"/>
      <c r="C171" s="832"/>
      <c r="D171" s="832"/>
      <c r="E171" s="149" t="s">
        <v>177</v>
      </c>
      <c r="F171" s="145" t="s">
        <v>178</v>
      </c>
      <c r="G171" s="354">
        <v>1.08E-6</v>
      </c>
      <c r="H171" s="58" t="s">
        <v>562</v>
      </c>
      <c r="I171" s="58" t="s">
        <v>513</v>
      </c>
      <c r="J171" s="433">
        <f t="shared" si="54"/>
        <v>1.08E-6</v>
      </c>
      <c r="K171" s="178">
        <f t="shared" si="55"/>
        <v>-5.9665762445130506</v>
      </c>
      <c r="L171" s="433">
        <f t="shared" si="56"/>
        <v>8.1006885585274744E-9</v>
      </c>
      <c r="M171" s="58">
        <v>25</v>
      </c>
      <c r="N171" s="30" t="s">
        <v>101</v>
      </c>
      <c r="O171" s="100">
        <f>VLOOKUP(N171,References!$B$7:$F$252,5,FALSE)</f>
        <v>99</v>
      </c>
      <c r="S171"/>
    </row>
    <row r="172" spans="1:19" x14ac:dyDescent="0.2">
      <c r="A172" s="879"/>
      <c r="B172" s="851"/>
      <c r="C172" s="834"/>
      <c r="D172" s="834"/>
      <c r="E172" s="182" t="s">
        <v>177</v>
      </c>
      <c r="F172" s="239" t="s">
        <v>178</v>
      </c>
      <c r="G172" s="327">
        <v>8.1899999999999992E-9</v>
      </c>
      <c r="H172" s="59" t="s">
        <v>564</v>
      </c>
      <c r="I172" s="59" t="s">
        <v>515</v>
      </c>
      <c r="J172" s="469">
        <f t="shared" si="54"/>
        <v>1.0919071799999999E-6</v>
      </c>
      <c r="K172" s="183">
        <f t="shared" si="55"/>
        <v>-5.9618142782312216</v>
      </c>
      <c r="L172" s="469">
        <f t="shared" si="56"/>
        <v>8.1899999999999992E-9</v>
      </c>
      <c r="M172" s="59" t="s">
        <v>33</v>
      </c>
      <c r="N172" s="37" t="s">
        <v>511</v>
      </c>
      <c r="O172" s="122">
        <f>VLOOKUP(N172,References!$B$7:$F$252,5,FALSE)</f>
        <v>36</v>
      </c>
      <c r="S172"/>
    </row>
    <row r="173" spans="1:19" x14ac:dyDescent="0.2">
      <c r="A173" s="246" t="s">
        <v>182</v>
      </c>
      <c r="B173" s="182" t="s">
        <v>183</v>
      </c>
      <c r="C173" s="239">
        <v>450.1</v>
      </c>
      <c r="D173" s="239" t="s">
        <v>184</v>
      </c>
      <c r="E173" s="182" t="s">
        <v>183</v>
      </c>
      <c r="F173" s="239" t="s">
        <v>184</v>
      </c>
      <c r="G173" s="328">
        <v>3.3299999999999998E-7</v>
      </c>
      <c r="H173" s="131" t="s">
        <v>564</v>
      </c>
      <c r="I173" s="131" t="s">
        <v>515</v>
      </c>
      <c r="J173" s="469">
        <f t="shared" si="54"/>
        <v>4.4396225999999998E-5</v>
      </c>
      <c r="K173" s="185">
        <f t="shared" si="55"/>
        <v>-4.3526539464853196</v>
      </c>
      <c r="L173" s="469">
        <f t="shared" si="56"/>
        <v>3.3299999999999998E-7</v>
      </c>
      <c r="M173" s="131" t="s">
        <v>33</v>
      </c>
      <c r="N173" s="42" t="s">
        <v>511</v>
      </c>
      <c r="O173" s="124">
        <f>VLOOKUP(N173,References!$B$7:$F$252,5,FALSE)</f>
        <v>36</v>
      </c>
      <c r="S173"/>
    </row>
    <row r="174" spans="1:19" x14ac:dyDescent="0.2">
      <c r="A174" s="868" t="s">
        <v>188</v>
      </c>
      <c r="B174" s="869" t="s">
        <v>189</v>
      </c>
      <c r="C174" s="832">
        <v>500.1</v>
      </c>
      <c r="D174" s="832" t="s">
        <v>190</v>
      </c>
      <c r="E174" s="149" t="s">
        <v>189</v>
      </c>
      <c r="F174" s="145" t="s">
        <v>190</v>
      </c>
      <c r="G174" s="58">
        <v>0.54</v>
      </c>
      <c r="H174" s="58" t="s">
        <v>568</v>
      </c>
      <c r="I174" s="58" t="s">
        <v>522</v>
      </c>
      <c r="J174" s="433">
        <f>IF(H174="Pa",G174,IF(H174="log-Pa",10^G174,IF(H174="mm Hg",G174*133.322,0)))</f>
        <v>3.4673685045253171</v>
      </c>
      <c r="K174" s="178">
        <f>IF(H174="Pa",LOG(G174),IF(H174="log-Pa",G174,IF(H174="mm Hg",LOG(G174*133.322),0)))</f>
        <v>0.54</v>
      </c>
      <c r="L174" s="433">
        <f>IF(H174="Pa",G174/133.322,IF(H174="log-Pa",(10^G174)/133.322,IF(H174="mm Hg",G174,0)))</f>
        <v>2.6007474419265514E-2</v>
      </c>
      <c r="M174" s="58">
        <v>25</v>
      </c>
      <c r="N174" s="30" t="s">
        <v>570</v>
      </c>
      <c r="O174" s="100">
        <f>VLOOKUP(N174,References!$B$7:$F$252,5,FALSE)</f>
        <v>9</v>
      </c>
      <c r="S174"/>
    </row>
    <row r="175" spans="1:19" x14ac:dyDescent="0.2">
      <c r="A175" s="868"/>
      <c r="B175" s="869"/>
      <c r="C175" s="832"/>
      <c r="D175" s="832"/>
      <c r="E175" s="149" t="s">
        <v>189</v>
      </c>
      <c r="F175" s="145" t="s">
        <v>190</v>
      </c>
      <c r="G175" s="58">
        <v>1.53</v>
      </c>
      <c r="H175" s="58" t="s">
        <v>568</v>
      </c>
      <c r="I175" s="58" t="s">
        <v>571</v>
      </c>
      <c r="J175" s="433">
        <f>IF(H175="Pa",G175,IF(H175="log-Pa",10^G175,IF(H175="mm Hg",G175*133.322,0)))</f>
        <v>33.884415613920268</v>
      </c>
      <c r="K175" s="178">
        <f>IF(H175="Pa",LOG(G175),IF(H175="log-Pa",G175,IF(H175="mm Hg",LOG(G175*133.322),0)))</f>
        <v>1.53</v>
      </c>
      <c r="L175" s="433">
        <f>IF(H175="Pa",G175/133.322,IF(H175="log-Pa",(10^G175)/133.322,IF(H175="mm Hg",G175,0)))</f>
        <v>0.25415472025562375</v>
      </c>
      <c r="M175" s="58">
        <v>25</v>
      </c>
      <c r="N175" s="30" t="s">
        <v>570</v>
      </c>
      <c r="O175" s="100">
        <f>VLOOKUP(N175,References!$B$7:$F$252,5,FALSE)</f>
        <v>9</v>
      </c>
      <c r="S175"/>
    </row>
    <row r="176" spans="1:19" x14ac:dyDescent="0.2">
      <c r="A176" s="868"/>
      <c r="B176" s="869"/>
      <c r="C176" s="832"/>
      <c r="D176" s="832"/>
      <c r="E176" s="149" t="s">
        <v>189</v>
      </c>
      <c r="F176" s="145" t="s">
        <v>190</v>
      </c>
      <c r="G176" s="58">
        <v>0.21</v>
      </c>
      <c r="H176" s="58" t="s">
        <v>568</v>
      </c>
      <c r="I176" s="58" t="s">
        <v>513</v>
      </c>
      <c r="J176" s="433">
        <f>IF(H176="Pa",G176,IF(H176="log-Pa",10^G176,IF(H176="mm Hg",G176*133.322,0)))</f>
        <v>1.62181009735893</v>
      </c>
      <c r="K176" s="178">
        <f>IF(H176="Pa",LOG(G176),IF(H176="log-Pa",G176,IF(H176="mm Hg",LOG(G176*133.322),0)))</f>
        <v>0.21</v>
      </c>
      <c r="L176" s="433">
        <f>IF(H176="Pa",G176/133.322,IF(H176="log-Pa",(10^G176)/133.322,IF(H176="mm Hg",G176,0)))</f>
        <v>1.2164609722018346E-2</v>
      </c>
      <c r="M176" s="58">
        <v>25</v>
      </c>
      <c r="N176" s="30" t="s">
        <v>570</v>
      </c>
      <c r="O176" s="100">
        <f>VLOOKUP(N176,References!$B$7:$F$252,5,FALSE)</f>
        <v>9</v>
      </c>
      <c r="S176"/>
    </row>
    <row r="177" spans="1:19" x14ac:dyDescent="0.2">
      <c r="A177" s="868"/>
      <c r="B177" s="869"/>
      <c r="C177" s="832"/>
      <c r="D177" s="832"/>
      <c r="E177" s="149" t="s">
        <v>189</v>
      </c>
      <c r="F177" s="145" t="s">
        <v>190</v>
      </c>
      <c r="G177" s="58">
        <v>-0.5</v>
      </c>
      <c r="H177" s="58" t="s">
        <v>568</v>
      </c>
      <c r="I177" s="58" t="s">
        <v>519</v>
      </c>
      <c r="J177" s="433">
        <f t="shared" si="54"/>
        <v>0.31622776601683794</v>
      </c>
      <c r="K177" s="178">
        <f t="shared" si="55"/>
        <v>-0.5</v>
      </c>
      <c r="L177" s="433">
        <f t="shared" si="56"/>
        <v>2.3719098574641688E-3</v>
      </c>
      <c r="M177" s="58">
        <v>25</v>
      </c>
      <c r="N177" s="30" t="s">
        <v>520</v>
      </c>
      <c r="O177" s="100">
        <f>VLOOKUP(N177,References!$B$7:$F$252,5,FALSE)</f>
        <v>14</v>
      </c>
      <c r="S177"/>
    </row>
    <row r="178" spans="1:19" x14ac:dyDescent="0.2">
      <c r="A178" s="868"/>
      <c r="B178" s="869"/>
      <c r="C178" s="832"/>
      <c r="D178" s="832"/>
      <c r="E178" s="149" t="s">
        <v>189</v>
      </c>
      <c r="F178" s="145" t="s">
        <v>190</v>
      </c>
      <c r="G178" s="58">
        <v>0.83</v>
      </c>
      <c r="H178" s="58" t="s">
        <v>568</v>
      </c>
      <c r="I178" s="58" t="s">
        <v>522</v>
      </c>
      <c r="J178" s="433">
        <f>IF(H178="Pa",G178,IF(H178="log-Pa",10^G178,IF(H178="mm Hg",G178*133.322,0)))</f>
        <v>6.7608297539198183</v>
      </c>
      <c r="K178" s="178">
        <f>IF(H178="Pa",LOG(G178),IF(H178="log-Pa",G178,IF(H178="mm Hg",LOG(G178*133.322),0)))</f>
        <v>0.83</v>
      </c>
      <c r="L178" s="433">
        <f>IF(H178="Pa",G178/133.322,IF(H178="log-Pa",(10^G178)/133.322,IF(H178="mm Hg",G178,0)))</f>
        <v>5.0710533549750365E-2</v>
      </c>
      <c r="M178" s="58" t="s">
        <v>33</v>
      </c>
      <c r="N178" s="30" t="s">
        <v>523</v>
      </c>
      <c r="O178" s="100">
        <f>VLOOKUP(N178,References!$B$7:$F$252,5,FALSE)</f>
        <v>127</v>
      </c>
      <c r="S178"/>
    </row>
    <row r="179" spans="1:19" x14ac:dyDescent="0.2">
      <c r="A179" s="868"/>
      <c r="B179" s="869"/>
      <c r="C179" s="832"/>
      <c r="D179" s="832"/>
      <c r="E179" s="149" t="s">
        <v>189</v>
      </c>
      <c r="F179" s="145" t="s">
        <v>190</v>
      </c>
      <c r="G179" s="58">
        <v>1.23</v>
      </c>
      <c r="H179" s="58" t="s">
        <v>568</v>
      </c>
      <c r="I179" s="58" t="s">
        <v>524</v>
      </c>
      <c r="J179" s="433">
        <f t="shared" si="54"/>
        <v>16.982436524617448</v>
      </c>
      <c r="K179" s="178">
        <f t="shared" si="55"/>
        <v>1.23</v>
      </c>
      <c r="L179" s="433">
        <f t="shared" si="56"/>
        <v>0.12737910115822931</v>
      </c>
      <c r="M179" s="58">
        <v>25</v>
      </c>
      <c r="N179" s="30" t="s">
        <v>525</v>
      </c>
      <c r="O179" s="100">
        <f>VLOOKUP(N179,References!$B$7:$F$252,5,FALSE)</f>
        <v>61</v>
      </c>
      <c r="S179"/>
    </row>
    <row r="180" spans="1:19" x14ac:dyDescent="0.2">
      <c r="A180" s="879"/>
      <c r="B180" s="851"/>
      <c r="C180" s="834"/>
      <c r="D180" s="834"/>
      <c r="E180" s="182" t="s">
        <v>189</v>
      </c>
      <c r="F180" s="239" t="s">
        <v>190</v>
      </c>
      <c r="G180" s="327">
        <v>2.48E-6</v>
      </c>
      <c r="H180" s="59" t="s">
        <v>564</v>
      </c>
      <c r="I180" s="59" t="s">
        <v>515</v>
      </c>
      <c r="J180" s="469">
        <f t="shared" si="54"/>
        <v>3.3063856E-4</v>
      </c>
      <c r="K180" s="183">
        <f t="shared" si="55"/>
        <v>-3.4806464991654233</v>
      </c>
      <c r="L180" s="469">
        <f t="shared" si="56"/>
        <v>2.48E-6</v>
      </c>
      <c r="M180" s="59" t="s">
        <v>33</v>
      </c>
      <c r="N180" s="37" t="s">
        <v>511</v>
      </c>
      <c r="O180" s="122">
        <f>VLOOKUP(N180,References!$B$7:$F$252,5,FALSE)</f>
        <v>36</v>
      </c>
      <c r="S180"/>
    </row>
    <row r="181" spans="1:19" x14ac:dyDescent="0.2">
      <c r="A181" s="246" t="s">
        <v>195</v>
      </c>
      <c r="B181" s="182" t="s">
        <v>196</v>
      </c>
      <c r="C181" s="239">
        <v>550.1</v>
      </c>
      <c r="D181" s="239" t="s">
        <v>197</v>
      </c>
      <c r="E181" s="182" t="s">
        <v>196</v>
      </c>
      <c r="F181" s="239" t="s">
        <v>197</v>
      </c>
      <c r="G181" s="327">
        <v>1.5E-6</v>
      </c>
      <c r="H181" s="59" t="s">
        <v>564</v>
      </c>
      <c r="I181" s="59" t="s">
        <v>515</v>
      </c>
      <c r="J181" s="469">
        <f t="shared" si="54"/>
        <v>1.9998300000000001E-4</v>
      </c>
      <c r="K181" s="183">
        <f t="shared" si="55"/>
        <v>-3.6990069209359584</v>
      </c>
      <c r="L181" s="469">
        <f t="shared" si="56"/>
        <v>1.5E-6</v>
      </c>
      <c r="M181" s="59" t="s">
        <v>33</v>
      </c>
      <c r="N181" s="37" t="s">
        <v>511</v>
      </c>
      <c r="O181" s="122">
        <f>VLOOKUP(N181,References!$B$7:$F$252,5,FALSE)</f>
        <v>36</v>
      </c>
      <c r="S181"/>
    </row>
    <row r="182" spans="1:19" x14ac:dyDescent="0.2">
      <c r="A182" s="867" t="s">
        <v>201</v>
      </c>
      <c r="B182" s="850" t="s">
        <v>202</v>
      </c>
      <c r="C182" s="833">
        <v>600.1</v>
      </c>
      <c r="D182" s="833" t="s">
        <v>203</v>
      </c>
      <c r="E182" s="150" t="s">
        <v>202</v>
      </c>
      <c r="F182" s="151" t="s">
        <v>203</v>
      </c>
      <c r="G182" s="57">
        <v>-0.15</v>
      </c>
      <c r="H182" s="57" t="s">
        <v>568</v>
      </c>
      <c r="I182" s="57" t="s">
        <v>522</v>
      </c>
      <c r="J182" s="694">
        <f t="shared" si="54"/>
        <v>0.70794578438413791</v>
      </c>
      <c r="K182" s="181">
        <f t="shared" si="55"/>
        <v>-0.15</v>
      </c>
      <c r="L182" s="694">
        <f t="shared" si="56"/>
        <v>5.3100447366836523E-3</v>
      </c>
      <c r="M182" s="57" t="s">
        <v>33</v>
      </c>
      <c r="N182" s="41" t="s">
        <v>523</v>
      </c>
      <c r="O182" s="121">
        <f>VLOOKUP(N182,References!$B$7:$F$252,5,FALSE)</f>
        <v>127</v>
      </c>
      <c r="S182"/>
    </row>
    <row r="183" spans="1:19" x14ac:dyDescent="0.2">
      <c r="A183" s="879"/>
      <c r="B183" s="851"/>
      <c r="C183" s="834"/>
      <c r="D183" s="834"/>
      <c r="E183" s="182" t="s">
        <v>202</v>
      </c>
      <c r="F183" s="239" t="s">
        <v>203</v>
      </c>
      <c r="G183" s="327">
        <v>8.1999999999999994E-6</v>
      </c>
      <c r="H183" s="59" t="s">
        <v>564</v>
      </c>
      <c r="I183" s="59" t="s">
        <v>515</v>
      </c>
      <c r="J183" s="469">
        <f t="shared" si="54"/>
        <v>1.0932404E-3</v>
      </c>
      <c r="K183" s="183">
        <f t="shared" si="55"/>
        <v>-2.961284327607923</v>
      </c>
      <c r="L183" s="469">
        <f t="shared" si="56"/>
        <v>8.1999999999999994E-6</v>
      </c>
      <c r="M183" s="59" t="s">
        <v>33</v>
      </c>
      <c r="N183" s="37" t="s">
        <v>511</v>
      </c>
      <c r="O183" s="122">
        <f>VLOOKUP(N183,References!$B$7:$F$252,5,FALSE)</f>
        <v>36</v>
      </c>
      <c r="S183"/>
    </row>
    <row r="184" spans="1:19" ht="17" thickBot="1" x14ac:dyDescent="0.25">
      <c r="A184" s="584" t="s">
        <v>207</v>
      </c>
      <c r="B184" s="151" t="s">
        <v>208</v>
      </c>
      <c r="C184" s="151">
        <v>700.2</v>
      </c>
      <c r="D184" s="151" t="s">
        <v>209</v>
      </c>
      <c r="E184" s="58" t="s">
        <v>208</v>
      </c>
      <c r="F184" s="58" t="s">
        <v>209</v>
      </c>
      <c r="G184" s="354">
        <v>1.2E-5</v>
      </c>
      <c r="H184" s="58" t="s">
        <v>564</v>
      </c>
      <c r="I184" s="58" t="s">
        <v>515</v>
      </c>
      <c r="J184" s="694">
        <f t="shared" ref="J184" si="69">IF(H184="Pa",G184,IF(H184="log-Pa",10^G184,IF(H184="mm Hg",G184*133.322,0)))</f>
        <v>1.5998640000000001E-3</v>
      </c>
      <c r="K184" s="181">
        <f t="shared" ref="K184" si="70">IF(H184="Pa",LOG(G184),IF(H184="log-Pa",G184,IF(H184="mm Hg",LOG(G184*133.322),0)))</f>
        <v>-2.7959169339440146</v>
      </c>
      <c r="L184" s="694">
        <f t="shared" ref="L184" si="71">IF(H184="Pa",G184/133.322,IF(H184="log-Pa",(10^G184)/133.322,IF(H184="mm Hg",G184,0)))</f>
        <v>1.2E-5</v>
      </c>
      <c r="M184" s="57" t="s">
        <v>33</v>
      </c>
      <c r="N184" s="600" t="s">
        <v>511</v>
      </c>
      <c r="O184" s="100">
        <f>VLOOKUP(N184,References!$B$7:$F$252,5,FALSE)</f>
        <v>36</v>
      </c>
      <c r="S184"/>
    </row>
    <row r="185" spans="1:19" ht="17" thickBot="1" x14ac:dyDescent="0.25">
      <c r="A185" s="482" t="s">
        <v>210</v>
      </c>
      <c r="B185" s="483" t="s">
        <v>211</v>
      </c>
      <c r="C185" s="484"/>
      <c r="D185" s="484"/>
      <c r="E185" s="484"/>
      <c r="F185" s="484"/>
      <c r="G185" s="485"/>
      <c r="H185" s="484"/>
      <c r="I185" s="484"/>
      <c r="J185" s="731"/>
      <c r="K185" s="486"/>
      <c r="L185" s="731"/>
      <c r="M185" s="484"/>
      <c r="N185" s="484"/>
      <c r="O185" s="487"/>
      <c r="S185"/>
    </row>
    <row r="186" spans="1:19" x14ac:dyDescent="0.2">
      <c r="A186" s="595" t="s">
        <v>212</v>
      </c>
      <c r="B186" s="296" t="s">
        <v>213</v>
      </c>
      <c r="C186" s="466">
        <v>178.1</v>
      </c>
      <c r="D186" s="296" t="s">
        <v>214</v>
      </c>
      <c r="E186" s="296" t="s">
        <v>213</v>
      </c>
      <c r="F186" s="296" t="s">
        <v>214</v>
      </c>
      <c r="G186" s="522">
        <v>2.36</v>
      </c>
      <c r="H186" s="131" t="s">
        <v>568</v>
      </c>
      <c r="I186" s="131" t="s">
        <v>522</v>
      </c>
      <c r="J186" s="525">
        <f>IF(H186="Pa",G186,IF(H186="log-Pa",10^G186,IF(H186="mm Hg",G186*133.322,0)))</f>
        <v>229.08676527677744</v>
      </c>
      <c r="K186" s="185">
        <f>IF(H186="Pa",LOG(G186),IF(H186="log-Pa",G186,IF(H186="mm Hg",LOG(G186*133.322),0)))</f>
        <v>2.36</v>
      </c>
      <c r="L186" s="525">
        <f>IF(H186="Pa",G186/133.322,IF(H186="log-Pa",(10^G186)/133.322,IF(H186="mm Hg",G186,0)))</f>
        <v>1.7182967948033891</v>
      </c>
      <c r="M186" s="131" t="s">
        <v>33</v>
      </c>
      <c r="N186" s="42" t="s">
        <v>523</v>
      </c>
      <c r="O186" s="124">
        <f>VLOOKUP(N186,References!$B$7:$F$252,5,FALSE)</f>
        <v>127</v>
      </c>
      <c r="S186"/>
    </row>
    <row r="187" spans="1:19" x14ac:dyDescent="0.2">
      <c r="A187" s="830" t="s">
        <v>215</v>
      </c>
      <c r="B187" s="832" t="s">
        <v>216</v>
      </c>
      <c r="C187" s="832">
        <v>242.1</v>
      </c>
      <c r="D187" s="832" t="s">
        <v>217</v>
      </c>
      <c r="E187" s="58" t="s">
        <v>216</v>
      </c>
      <c r="F187" s="58" t="s">
        <v>217</v>
      </c>
      <c r="G187" s="447">
        <v>0.48</v>
      </c>
      <c r="H187" s="58" t="s">
        <v>564</v>
      </c>
      <c r="I187" s="134" t="s">
        <v>512</v>
      </c>
      <c r="J187" s="433">
        <f t="shared" ref="J187:J189" si="72">IF(H187="Pa",G187,IF(H187="log-Pa",10^G187,IF(H187="mm Hg",G187*133.322,0)))</f>
        <v>63.99456</v>
      </c>
      <c r="K187" s="178">
        <f t="shared" ref="K187:K189" si="73">IF(H187="Pa",LOG(G187),IF(H187="log-Pa",G187,IF(H187="mm Hg",LOG(G187*133.322),0)))</f>
        <v>1.8061430573839476</v>
      </c>
      <c r="L187" s="433">
        <f t="shared" ref="L187:L189" si="74">IF(H187="Pa",G187/133.322,IF(H187="log-Pa",(10^G187)/133.322,IF(H187="mm Hg",G187,0)))</f>
        <v>0.48</v>
      </c>
      <c r="M187" s="134" t="s">
        <v>33</v>
      </c>
      <c r="N187" s="600" t="s">
        <v>511</v>
      </c>
      <c r="O187" s="100">
        <f>VLOOKUP(N187,References!$B$7:$F$252,5,FALSE)</f>
        <v>36</v>
      </c>
      <c r="S187"/>
    </row>
    <row r="188" spans="1:19" x14ac:dyDescent="0.2">
      <c r="A188" s="830"/>
      <c r="B188" s="832"/>
      <c r="C188" s="832"/>
      <c r="D188" s="832"/>
      <c r="E188" s="58" t="s">
        <v>216</v>
      </c>
      <c r="F188" s="58" t="s">
        <v>217</v>
      </c>
      <c r="G188" s="447">
        <v>0.52500000000000002</v>
      </c>
      <c r="H188" s="58" t="s">
        <v>564</v>
      </c>
      <c r="I188" s="134" t="s">
        <v>515</v>
      </c>
      <c r="J188" s="433">
        <f t="shared" si="72"/>
        <v>69.994050000000001</v>
      </c>
      <c r="K188" s="178">
        <f t="shared" si="73"/>
        <v>1.8450611234143173</v>
      </c>
      <c r="L188" s="433">
        <f t="shared" si="74"/>
        <v>0.52500000000000002</v>
      </c>
      <c r="M188" s="134" t="s">
        <v>33</v>
      </c>
      <c r="N188" s="600" t="s">
        <v>511</v>
      </c>
      <c r="O188" s="100">
        <f>VLOOKUP(N188,References!$B$7:$F$252,5,FALSE)</f>
        <v>36</v>
      </c>
      <c r="S188"/>
    </row>
    <row r="189" spans="1:19" x14ac:dyDescent="0.2">
      <c r="A189" s="847"/>
      <c r="B189" s="834"/>
      <c r="C189" s="834"/>
      <c r="D189" s="834"/>
      <c r="E189" s="59" t="s">
        <v>216</v>
      </c>
      <c r="F189" s="59" t="s">
        <v>217</v>
      </c>
      <c r="G189" s="448">
        <v>0.79</v>
      </c>
      <c r="H189" s="59" t="s">
        <v>564</v>
      </c>
      <c r="I189" s="195" t="s">
        <v>514</v>
      </c>
      <c r="J189" s="469">
        <f t="shared" si="72"/>
        <v>105.32438</v>
      </c>
      <c r="K189" s="183">
        <f t="shared" si="73"/>
        <v>2.0225289112988021</v>
      </c>
      <c r="L189" s="469">
        <f t="shared" si="74"/>
        <v>0.79</v>
      </c>
      <c r="M189" s="195" t="s">
        <v>33</v>
      </c>
      <c r="N189" s="598" t="s">
        <v>511</v>
      </c>
      <c r="O189" s="122">
        <f>VLOOKUP(N189,References!$B$7:$F$252,5,FALSE)</f>
        <v>36</v>
      </c>
      <c r="S189"/>
    </row>
    <row r="190" spans="1:19" x14ac:dyDescent="0.2">
      <c r="A190" s="295" t="s">
        <v>221</v>
      </c>
      <c r="B190" s="131" t="s">
        <v>222</v>
      </c>
      <c r="C190" s="153">
        <v>278.10000000000002</v>
      </c>
      <c r="D190" s="131" t="s">
        <v>223</v>
      </c>
      <c r="E190" s="131" t="s">
        <v>222</v>
      </c>
      <c r="F190" s="131" t="s">
        <v>223</v>
      </c>
      <c r="G190" s="732">
        <v>1.59</v>
      </c>
      <c r="H190" s="131" t="s">
        <v>568</v>
      </c>
      <c r="I190" s="131" t="s">
        <v>522</v>
      </c>
      <c r="J190" s="525">
        <f>IF(H190="Pa",G190,IF(H190="log-Pa",10^G190,IF(H190="mm Hg",G190*133.322,0)))</f>
        <v>38.904514499428075</v>
      </c>
      <c r="K190" s="185">
        <f>IF(H190="Pa",LOG(G190),IF(H190="log-Pa",G190,IF(H190="mm Hg",LOG(G190*133.322),0)))</f>
        <v>1.59</v>
      </c>
      <c r="L190" s="525">
        <f>IF(H190="Pa",G190/133.322,IF(H190="log-Pa",(10^G190)/133.322,IF(H190="mm Hg",G190,0)))</f>
        <v>0.29180866248202153</v>
      </c>
      <c r="M190" s="131" t="s">
        <v>33</v>
      </c>
      <c r="N190" s="42" t="s">
        <v>523</v>
      </c>
      <c r="O190" s="124">
        <f>VLOOKUP(N190,References!$B$7:$F$252,5,FALSE)</f>
        <v>127</v>
      </c>
      <c r="S190"/>
    </row>
    <row r="191" spans="1:19" x14ac:dyDescent="0.2">
      <c r="A191" s="868" t="s">
        <v>224</v>
      </c>
      <c r="B191" s="869" t="s">
        <v>225</v>
      </c>
      <c r="C191" s="841">
        <v>342.1</v>
      </c>
      <c r="D191" s="832" t="s">
        <v>226</v>
      </c>
      <c r="E191" s="149" t="s">
        <v>225</v>
      </c>
      <c r="F191" s="145" t="s">
        <v>226</v>
      </c>
      <c r="G191" s="58">
        <v>0.14699999999999999</v>
      </c>
      <c r="H191" s="58" t="s">
        <v>564</v>
      </c>
      <c r="I191" s="58" t="s">
        <v>514</v>
      </c>
      <c r="J191" s="433">
        <f t="shared" si="54"/>
        <v>19.598333999999998</v>
      </c>
      <c r="K191" s="178">
        <f t="shared" si="55"/>
        <v>1.2922191547565365</v>
      </c>
      <c r="L191" s="433">
        <f t="shared" si="56"/>
        <v>0.14699999999999999</v>
      </c>
      <c r="M191" s="58" t="s">
        <v>33</v>
      </c>
      <c r="N191" s="30" t="s">
        <v>511</v>
      </c>
      <c r="O191" s="100">
        <f>VLOOKUP(N191,References!$B$7:$F$252,5,FALSE)</f>
        <v>36</v>
      </c>
      <c r="S191"/>
    </row>
    <row r="192" spans="1:19" x14ac:dyDescent="0.2">
      <c r="A192" s="879"/>
      <c r="B192" s="851"/>
      <c r="C192" s="842"/>
      <c r="D192" s="834"/>
      <c r="E192" s="182" t="s">
        <v>225</v>
      </c>
      <c r="F192" s="239" t="s">
        <v>226</v>
      </c>
      <c r="G192" s="59">
        <v>0.439</v>
      </c>
      <c r="H192" s="59" t="s">
        <v>564</v>
      </c>
      <c r="I192" s="59" t="s">
        <v>515</v>
      </c>
      <c r="J192" s="469">
        <f t="shared" si="54"/>
        <v>58.528358000000004</v>
      </c>
      <c r="K192" s="183">
        <f t="shared" si="55"/>
        <v>1.7673663402504818</v>
      </c>
      <c r="L192" s="469">
        <f t="shared" si="56"/>
        <v>0.439</v>
      </c>
      <c r="M192" s="59" t="s">
        <v>33</v>
      </c>
      <c r="N192" s="37" t="s">
        <v>511</v>
      </c>
      <c r="O192" s="122">
        <f>VLOOKUP(N192,References!$B$7:$F$252,5,FALSE)</f>
        <v>36</v>
      </c>
      <c r="S192"/>
    </row>
    <row r="193" spans="1:19" x14ac:dyDescent="0.2">
      <c r="A193" s="867" t="s">
        <v>230</v>
      </c>
      <c r="B193" s="850" t="s">
        <v>231</v>
      </c>
      <c r="C193" s="843">
        <v>378.1</v>
      </c>
      <c r="D193" s="833" t="s">
        <v>232</v>
      </c>
      <c r="E193" s="150" t="s">
        <v>231</v>
      </c>
      <c r="F193" s="151" t="s">
        <v>232</v>
      </c>
      <c r="G193" s="57">
        <v>0.76</v>
      </c>
      <c r="H193" s="57" t="s">
        <v>568</v>
      </c>
      <c r="I193" s="57" t="s">
        <v>522</v>
      </c>
      <c r="J193" s="694">
        <f>IF(H193="Pa",G193,IF(H193="log-Pa",10^G193,IF(H193="mm Hg",G193*133.322,0)))</f>
        <v>5.7543993733715713</v>
      </c>
      <c r="K193" s="181">
        <f>IF(H193="Pa",LOG(G193),IF(H193="log-Pa",G193,IF(H193="mm Hg",LOG(G193*133.322),0)))</f>
        <v>0.76</v>
      </c>
      <c r="L193" s="694">
        <f>IF(H193="Pa",G193/133.322,IF(H193="log-Pa",(10^G193)/133.322,IF(H193="mm Hg",G193,0)))</f>
        <v>4.316166404173033E-2</v>
      </c>
      <c r="M193" s="57" t="s">
        <v>33</v>
      </c>
      <c r="N193" s="41" t="s">
        <v>523</v>
      </c>
      <c r="O193" s="121">
        <f>VLOOKUP(N193,References!$B$7:$F$252,5,FALSE)</f>
        <v>127</v>
      </c>
      <c r="S193"/>
    </row>
    <row r="194" spans="1:19" x14ac:dyDescent="0.2">
      <c r="A194" s="868"/>
      <c r="B194" s="869"/>
      <c r="C194" s="841"/>
      <c r="D194" s="832"/>
      <c r="E194" s="149" t="s">
        <v>231</v>
      </c>
      <c r="F194" s="145" t="s">
        <v>232</v>
      </c>
      <c r="G194" s="58">
        <v>1.02</v>
      </c>
      <c r="H194" s="58" t="s">
        <v>568</v>
      </c>
      <c r="I194" s="58" t="s">
        <v>522</v>
      </c>
      <c r="J194" s="433">
        <f t="shared" si="54"/>
        <v>10.471285480509</v>
      </c>
      <c r="K194" s="178">
        <f t="shared" si="55"/>
        <v>1.02</v>
      </c>
      <c r="L194" s="433">
        <f t="shared" si="56"/>
        <v>7.8541317115772336E-2</v>
      </c>
      <c r="M194" s="58" t="s">
        <v>33</v>
      </c>
      <c r="N194" s="30" t="s">
        <v>533</v>
      </c>
      <c r="O194" s="100">
        <f>VLOOKUP(N194,References!$B$7:$F$252,5,FALSE)</f>
        <v>40</v>
      </c>
      <c r="S194"/>
    </row>
    <row r="195" spans="1:19" x14ac:dyDescent="0.2">
      <c r="A195" s="868"/>
      <c r="B195" s="869"/>
      <c r="C195" s="841"/>
      <c r="D195" s="832"/>
      <c r="E195" s="149" t="s">
        <v>231</v>
      </c>
      <c r="F195" s="145" t="s">
        <v>232</v>
      </c>
      <c r="G195" s="58">
        <v>0.251</v>
      </c>
      <c r="H195" s="58" t="s">
        <v>564</v>
      </c>
      <c r="I195" s="58" t="s">
        <v>512</v>
      </c>
      <c r="J195" s="433">
        <f t="shared" si="54"/>
        <v>33.463822</v>
      </c>
      <c r="K195" s="178">
        <f t="shared" si="55"/>
        <v>1.5245755414893987</v>
      </c>
      <c r="L195" s="433">
        <f t="shared" si="56"/>
        <v>0.251</v>
      </c>
      <c r="M195" s="58" t="s">
        <v>33</v>
      </c>
      <c r="N195" s="30" t="s">
        <v>511</v>
      </c>
      <c r="O195" s="100">
        <f>VLOOKUP(N195,References!$B$7:$F$252,5,FALSE)</f>
        <v>36</v>
      </c>
      <c r="S195"/>
    </row>
    <row r="196" spans="1:19" x14ac:dyDescent="0.2">
      <c r="A196" s="868"/>
      <c r="B196" s="869"/>
      <c r="C196" s="841"/>
      <c r="D196" s="832"/>
      <c r="E196" s="149" t="s">
        <v>231</v>
      </c>
      <c r="F196" s="145" t="s">
        <v>232</v>
      </c>
      <c r="G196" s="58">
        <v>0.20200000000000001</v>
      </c>
      <c r="H196" s="58" t="s">
        <v>564</v>
      </c>
      <c r="I196" s="58" t="s">
        <v>514</v>
      </c>
      <c r="J196" s="433">
        <f t="shared" si="54"/>
        <v>26.931044000000004</v>
      </c>
      <c r="K196" s="178">
        <f t="shared" si="55"/>
        <v>1.4302531894549844</v>
      </c>
      <c r="L196" s="433">
        <f t="shared" si="56"/>
        <v>0.20200000000000001</v>
      </c>
      <c r="M196" s="58" t="s">
        <v>33</v>
      </c>
      <c r="N196" s="30" t="s">
        <v>511</v>
      </c>
      <c r="O196" s="100">
        <f>VLOOKUP(N196,References!$B$7:$F$252,5,FALSE)</f>
        <v>36</v>
      </c>
      <c r="S196"/>
    </row>
    <row r="197" spans="1:19" x14ac:dyDescent="0.2">
      <c r="A197" s="879"/>
      <c r="B197" s="851"/>
      <c r="C197" s="842"/>
      <c r="D197" s="834"/>
      <c r="E197" s="182" t="s">
        <v>231</v>
      </c>
      <c r="F197" s="239" t="s">
        <v>232</v>
      </c>
      <c r="G197" s="59">
        <v>0.125</v>
      </c>
      <c r="H197" s="59" t="s">
        <v>564</v>
      </c>
      <c r="I197" s="59" t="s">
        <v>515</v>
      </c>
      <c r="J197" s="469">
        <f t="shared" si="54"/>
        <v>16.66525</v>
      </c>
      <c r="K197" s="183">
        <f t="shared" si="55"/>
        <v>1.2218118330164169</v>
      </c>
      <c r="L197" s="469">
        <f t="shared" si="56"/>
        <v>0.125</v>
      </c>
      <c r="M197" s="59" t="s">
        <v>33</v>
      </c>
      <c r="N197" s="37" t="s">
        <v>511</v>
      </c>
      <c r="O197" s="122">
        <f>VLOOKUP(N197,References!$B$7:$F$252,5,FALSE)</f>
        <v>36</v>
      </c>
      <c r="S197"/>
    </row>
    <row r="198" spans="1:19" x14ac:dyDescent="0.2">
      <c r="A198" s="849" t="s">
        <v>236</v>
      </c>
      <c r="B198" s="833" t="s">
        <v>237</v>
      </c>
      <c r="C198" s="843">
        <v>442.1</v>
      </c>
      <c r="D198" s="833" t="s">
        <v>238</v>
      </c>
      <c r="E198" s="151" t="s">
        <v>237</v>
      </c>
      <c r="F198" s="151" t="s">
        <v>238</v>
      </c>
      <c r="G198" s="693">
        <v>5.4999999999999997E-3</v>
      </c>
      <c r="H198" s="57" t="s">
        <v>564</v>
      </c>
      <c r="I198" s="57" t="s">
        <v>515</v>
      </c>
      <c r="J198" s="694">
        <f t="shared" ref="J198:J200" si="75">IF(H198="Pa",G198,IF(H198="log-Pa",10^G198,IF(H198="mm Hg",G198*133.322,0)))</f>
        <v>0.73327100000000001</v>
      </c>
      <c r="K198" s="181">
        <f t="shared" ref="K198:K200" si="76">IF(H198="Pa",LOG(G198),IF(H198="log-Pa",G198,IF(H198="mm Hg",LOG(G198*133.322),0)))</f>
        <v>-0.13473549049739569</v>
      </c>
      <c r="L198" s="694">
        <f t="shared" ref="L198:L200" si="77">IF(H198="Pa",G198/133.322,IF(H198="log-Pa",(10^G198)/133.322,IF(H198="mm Hg",G198,0)))</f>
        <v>5.4999999999999997E-3</v>
      </c>
      <c r="M198" s="57" t="s">
        <v>33</v>
      </c>
      <c r="N198" s="733" t="s">
        <v>511</v>
      </c>
      <c r="O198" s="121">
        <f>VLOOKUP(N198,References!$B$7:$F$252,5,FALSE)</f>
        <v>36</v>
      </c>
      <c r="S198"/>
    </row>
    <row r="199" spans="1:19" x14ac:dyDescent="0.2">
      <c r="A199" s="830"/>
      <c r="B199" s="832"/>
      <c r="C199" s="841"/>
      <c r="D199" s="832"/>
      <c r="E199" s="145" t="s">
        <v>237</v>
      </c>
      <c r="F199" s="145" t="s">
        <v>238</v>
      </c>
      <c r="G199" s="354">
        <v>2.4299999999999999E-2</v>
      </c>
      <c r="H199" s="58" t="s">
        <v>564</v>
      </c>
      <c r="I199" s="58" t="s">
        <v>514</v>
      </c>
      <c r="J199" s="433">
        <f t="shared" si="75"/>
        <v>3.2397245999999997</v>
      </c>
      <c r="K199" s="178">
        <f t="shared" si="76"/>
        <v>0.5105080936066726</v>
      </c>
      <c r="L199" s="433">
        <f t="shared" si="77"/>
        <v>2.4299999999999999E-2</v>
      </c>
      <c r="M199" s="58" t="s">
        <v>33</v>
      </c>
      <c r="N199" s="600" t="s">
        <v>511</v>
      </c>
      <c r="O199" s="100">
        <f>VLOOKUP(N199,References!$B$7:$F$252,5,FALSE)</f>
        <v>36</v>
      </c>
      <c r="S199"/>
    </row>
    <row r="200" spans="1:19" x14ac:dyDescent="0.2">
      <c r="A200" s="847"/>
      <c r="B200" s="834"/>
      <c r="C200" s="842"/>
      <c r="D200" s="834"/>
      <c r="E200" s="239" t="s">
        <v>237</v>
      </c>
      <c r="F200" s="239" t="s">
        <v>238</v>
      </c>
      <c r="G200" s="327">
        <v>2.86E-2</v>
      </c>
      <c r="H200" s="59" t="s">
        <v>564</v>
      </c>
      <c r="I200" s="59" t="s">
        <v>512</v>
      </c>
      <c r="J200" s="469">
        <f t="shared" si="75"/>
        <v>3.8130092000000002</v>
      </c>
      <c r="K200" s="183">
        <f t="shared" si="76"/>
        <v>0.58126785313740348</v>
      </c>
      <c r="L200" s="469">
        <f t="shared" si="77"/>
        <v>2.86E-2</v>
      </c>
      <c r="M200" s="59" t="s">
        <v>33</v>
      </c>
      <c r="N200" s="598" t="s">
        <v>511</v>
      </c>
      <c r="O200" s="122">
        <f>VLOOKUP(N200,References!$B$7:$F$252,5,FALSE)</f>
        <v>36</v>
      </c>
      <c r="S200"/>
    </row>
    <row r="201" spans="1:19" s="2" customFormat="1" ht="15" x14ac:dyDescent="0.2">
      <c r="A201" s="839" t="s">
        <v>242</v>
      </c>
      <c r="B201" s="833" t="s">
        <v>243</v>
      </c>
      <c r="C201" s="843">
        <v>477.1</v>
      </c>
      <c r="D201" s="833" t="s">
        <v>244</v>
      </c>
      <c r="E201" s="57" t="s">
        <v>243</v>
      </c>
      <c r="F201" s="57" t="s">
        <v>244</v>
      </c>
      <c r="G201" s="57">
        <v>-0.11</v>
      </c>
      <c r="H201" s="57" t="s">
        <v>568</v>
      </c>
      <c r="I201" s="57" t="s">
        <v>522</v>
      </c>
      <c r="J201" s="694">
        <f t="shared" ref="J201:J204" si="78">IF(H201="Pa",G201,IF(H201="log-Pa",10^G201,IF(H201="mm Hg",G201*133.322,0)))</f>
        <v>0.77624711662869172</v>
      </c>
      <c r="K201" s="181">
        <f t="shared" ref="K201:K204" si="79">IF(H201="Pa",LOG(G201),IF(H201="log-Pa",G201,IF(H201="mm Hg",LOG(G201*133.322),0)))</f>
        <v>-0.11</v>
      </c>
      <c r="L201" s="694">
        <f t="shared" ref="L201:L204" si="80">IF(H201="Pa",G201/133.322,IF(H201="log-Pa",(10^G201)/133.322,IF(H201="mm Hg",G201,0)))</f>
        <v>5.8223482743185052E-3</v>
      </c>
      <c r="M201" s="57" t="s">
        <v>33</v>
      </c>
      <c r="N201" s="41" t="s">
        <v>523</v>
      </c>
      <c r="O201" s="121">
        <f>VLOOKUP(N201,References!$B$7:$F$252,5,FALSE)</f>
        <v>127</v>
      </c>
      <c r="P201" s="453"/>
      <c r="Q201" s="438"/>
      <c r="R201" s="3"/>
      <c r="S201" s="11"/>
    </row>
    <row r="202" spans="1:19" s="2" customFormat="1" ht="15" x14ac:dyDescent="0.2">
      <c r="A202" s="838"/>
      <c r="B202" s="832"/>
      <c r="C202" s="841"/>
      <c r="D202" s="832"/>
      <c r="E202" s="58" t="s">
        <v>243</v>
      </c>
      <c r="F202" s="58" t="s">
        <v>244</v>
      </c>
      <c r="G202" s="58">
        <v>0.01</v>
      </c>
      <c r="H202" s="58" t="s">
        <v>564</v>
      </c>
      <c r="I202" s="58" t="s">
        <v>515</v>
      </c>
      <c r="J202" s="433">
        <f t="shared" ref="J202" si="81">IF(H202="Pa",G202,IF(H202="log-Pa",10^G202,IF(H202="mm Hg",G202*133.322,0)))</f>
        <v>1.3332200000000001</v>
      </c>
      <c r="K202" s="178">
        <f t="shared" ref="K202" si="82">IF(H202="Pa",LOG(G202),IF(H202="log-Pa",G202,IF(H202="mm Hg",LOG(G202*133.322),0)))</f>
        <v>0.12490182000836048</v>
      </c>
      <c r="L202" s="433">
        <f t="shared" ref="L202" si="83">IF(H202="Pa",G202/133.322,IF(H202="log-Pa",(10^G202)/133.322,IF(H202="mm Hg",G202,0)))</f>
        <v>0.01</v>
      </c>
      <c r="M202" s="58" t="s">
        <v>33</v>
      </c>
      <c r="N202" s="30" t="s">
        <v>511</v>
      </c>
      <c r="O202" s="100">
        <f>VLOOKUP(N202,References!$B$7:$F$252,5,FALSE)</f>
        <v>36</v>
      </c>
      <c r="P202" s="453"/>
      <c r="Q202" s="438"/>
      <c r="R202" s="3"/>
      <c r="S202" s="11"/>
    </row>
    <row r="203" spans="1:19" s="2" customFormat="1" ht="15" x14ac:dyDescent="0.2">
      <c r="A203" s="838"/>
      <c r="B203" s="832"/>
      <c r="C203" s="841"/>
      <c r="D203" s="832"/>
      <c r="E203" s="58" t="s">
        <v>243</v>
      </c>
      <c r="F203" s="58" t="s">
        <v>244</v>
      </c>
      <c r="G203" s="58">
        <v>2.92E-2</v>
      </c>
      <c r="H203" s="58" t="s">
        <v>564</v>
      </c>
      <c r="I203" s="58" t="s">
        <v>512</v>
      </c>
      <c r="J203" s="433">
        <f t="shared" si="78"/>
        <v>3.8930024000000003</v>
      </c>
      <c r="K203" s="178">
        <f t="shared" si="79"/>
        <v>0.59028467145677876</v>
      </c>
      <c r="L203" s="433">
        <f t="shared" si="80"/>
        <v>2.92E-2</v>
      </c>
      <c r="M203" s="58" t="s">
        <v>33</v>
      </c>
      <c r="N203" s="30" t="s">
        <v>511</v>
      </c>
      <c r="O203" s="100">
        <f>VLOOKUP(N203,References!$B$7:$F$252,5,FALSE)</f>
        <v>36</v>
      </c>
      <c r="P203" s="453"/>
      <c r="Q203" s="438"/>
      <c r="R203" s="3"/>
      <c r="S203" s="11"/>
    </row>
    <row r="204" spans="1:19" x14ac:dyDescent="0.2">
      <c r="A204" s="840"/>
      <c r="B204" s="834"/>
      <c r="C204" s="842"/>
      <c r="D204" s="834"/>
      <c r="E204" s="59" t="s">
        <v>243</v>
      </c>
      <c r="F204" s="59" t="s">
        <v>244</v>
      </c>
      <c r="G204" s="59">
        <v>3.1600000000000003E-2</v>
      </c>
      <c r="H204" s="59" t="s">
        <v>564</v>
      </c>
      <c r="I204" s="59" t="s">
        <v>514</v>
      </c>
      <c r="J204" s="469">
        <f t="shared" si="78"/>
        <v>4.2129752000000007</v>
      </c>
      <c r="K204" s="183">
        <f t="shared" si="79"/>
        <v>0.62458890262676436</v>
      </c>
      <c r="L204" s="469">
        <f t="shared" si="80"/>
        <v>3.1600000000000003E-2</v>
      </c>
      <c r="M204" s="59" t="s">
        <v>33</v>
      </c>
      <c r="N204" s="37" t="s">
        <v>511</v>
      </c>
      <c r="O204" s="122">
        <f>VLOOKUP(N204,References!$B$7:$F$252,5,FALSE)</f>
        <v>36</v>
      </c>
      <c r="S204"/>
    </row>
    <row r="205" spans="1:19" x14ac:dyDescent="0.2">
      <c r="A205" s="207" t="s">
        <v>248</v>
      </c>
      <c r="B205" s="239" t="s">
        <v>249</v>
      </c>
      <c r="C205" s="294">
        <v>578.1</v>
      </c>
      <c r="D205" s="153" t="s">
        <v>250</v>
      </c>
      <c r="E205" s="239" t="s">
        <v>249</v>
      </c>
      <c r="F205" s="153" t="s">
        <v>250</v>
      </c>
      <c r="G205" s="131">
        <v>-0.96</v>
      </c>
      <c r="H205" s="131" t="s">
        <v>568</v>
      </c>
      <c r="I205" s="131" t="s">
        <v>522</v>
      </c>
      <c r="J205" s="525">
        <f>IF(H205="Pa",G205,IF(H205="log-Pa",10^G205,IF(H205="mm Hg",G205*133.322,0)))</f>
        <v>0.10964781961431849</v>
      </c>
      <c r="K205" s="185">
        <f>IF(H205="Pa",LOG(G205),IF(H205="log-Pa",G205,IF(H205="mm Hg",LOG(G205*133.322),0)))</f>
        <v>-0.96</v>
      </c>
      <c r="L205" s="525">
        <f>IF(H205="Pa",G205/133.322,IF(H205="log-Pa",(10^G205)/133.322,IF(H205="mm Hg",G205,0)))</f>
        <v>8.2242855353443914E-4</v>
      </c>
      <c r="M205" s="131" t="s">
        <v>33</v>
      </c>
      <c r="N205" s="42" t="s">
        <v>523</v>
      </c>
      <c r="O205" s="124">
        <f>VLOOKUP(N205,References!$B$7:$F$252,5,FALSE)</f>
        <v>127</v>
      </c>
      <c r="S205"/>
    </row>
    <row r="206" spans="1:19" ht="17" thickBot="1" x14ac:dyDescent="0.25">
      <c r="A206" s="586" t="s">
        <v>252</v>
      </c>
      <c r="B206" s="145" t="s">
        <v>253</v>
      </c>
      <c r="C206" s="133">
        <v>678.1</v>
      </c>
      <c r="D206" s="145" t="s">
        <v>254</v>
      </c>
      <c r="E206" s="145" t="s">
        <v>253</v>
      </c>
      <c r="F206" s="145" t="s">
        <v>254</v>
      </c>
      <c r="G206" s="138">
        <v>-1.39</v>
      </c>
      <c r="H206" s="131" t="s">
        <v>568</v>
      </c>
      <c r="I206" s="131" t="s">
        <v>522</v>
      </c>
      <c r="J206" s="525">
        <f>IF(H206="Pa",G206,IF(H206="log-Pa",10^G206,IF(H206="mm Hg",G206*133.322,0)))</f>
        <v>4.0738027780411273E-2</v>
      </c>
      <c r="K206" s="185">
        <f>IF(H206="Pa",LOG(G206),IF(H206="log-Pa",G206,IF(H206="mm Hg",LOG(G206*133.322),0)))</f>
        <v>-1.39</v>
      </c>
      <c r="L206" s="525">
        <f>IF(H206="Pa",G206/133.322,IF(H206="log-Pa",(10^G206)/133.322,IF(H206="mm Hg",G206,0)))</f>
        <v>3.0556118105347406E-4</v>
      </c>
      <c r="M206" s="131" t="s">
        <v>33</v>
      </c>
      <c r="N206" s="42" t="s">
        <v>523</v>
      </c>
      <c r="O206" s="124">
        <f>VLOOKUP(N206,References!$B$7:$F$252,5,FALSE)</f>
        <v>127</v>
      </c>
      <c r="S206"/>
    </row>
    <row r="207" spans="1:19" ht="17" thickBot="1" x14ac:dyDescent="0.25">
      <c r="A207" s="78" t="s">
        <v>255</v>
      </c>
      <c r="B207" s="129" t="s">
        <v>256</v>
      </c>
      <c r="C207" s="81"/>
      <c r="D207" s="81"/>
      <c r="E207" s="81"/>
      <c r="F207" s="81"/>
      <c r="G207" s="329"/>
      <c r="H207" s="81"/>
      <c r="I207" s="81"/>
      <c r="J207" s="594"/>
      <c r="K207" s="249"/>
      <c r="L207" s="594"/>
      <c r="M207" s="81"/>
      <c r="N207" s="81"/>
      <c r="O207" s="96"/>
      <c r="S207"/>
    </row>
    <row r="208" spans="1:19" x14ac:dyDescent="0.2">
      <c r="A208" s="868" t="s">
        <v>257</v>
      </c>
      <c r="B208" s="869" t="s">
        <v>258</v>
      </c>
      <c r="C208" s="832">
        <v>328.2</v>
      </c>
      <c r="D208" s="832" t="s">
        <v>259</v>
      </c>
      <c r="E208" s="149" t="s">
        <v>258</v>
      </c>
      <c r="F208" s="145" t="s">
        <v>259</v>
      </c>
      <c r="G208" s="58">
        <v>-0.48</v>
      </c>
      <c r="H208" s="58" t="s">
        <v>568</v>
      </c>
      <c r="I208" s="58" t="s">
        <v>522</v>
      </c>
      <c r="J208" s="433">
        <f t="shared" si="54"/>
        <v>0.33113112148259105</v>
      </c>
      <c r="K208" s="178">
        <f t="shared" si="55"/>
        <v>-0.48</v>
      </c>
      <c r="L208" s="433">
        <f t="shared" si="56"/>
        <v>2.4836945251540711E-3</v>
      </c>
      <c r="M208" s="58" t="s">
        <v>33</v>
      </c>
      <c r="N208" s="30" t="s">
        <v>523</v>
      </c>
      <c r="O208" s="100">
        <f>VLOOKUP(N208,References!$B$7:$F$252,5,FALSE)</f>
        <v>127</v>
      </c>
      <c r="S208"/>
    </row>
    <row r="209" spans="1:19" x14ac:dyDescent="0.2">
      <c r="A209" s="879"/>
      <c r="B209" s="851"/>
      <c r="C209" s="834"/>
      <c r="D209" s="834"/>
      <c r="E209" s="182" t="s">
        <v>258</v>
      </c>
      <c r="F209" s="239" t="s">
        <v>259</v>
      </c>
      <c r="G209" s="327">
        <v>1.3200000000000001E-6</v>
      </c>
      <c r="H209" s="59" t="s">
        <v>564</v>
      </c>
      <c r="I209" s="59" t="s">
        <v>515</v>
      </c>
      <c r="J209" s="469">
        <f t="shared" si="54"/>
        <v>1.7598504000000001E-4</v>
      </c>
      <c r="K209" s="183">
        <f t="shared" si="55"/>
        <v>-3.7545242487857897</v>
      </c>
      <c r="L209" s="469">
        <f t="shared" si="56"/>
        <v>1.3200000000000001E-6</v>
      </c>
      <c r="M209" s="59" t="s">
        <v>33</v>
      </c>
      <c r="N209" s="37" t="s">
        <v>511</v>
      </c>
      <c r="O209" s="122">
        <f>VLOOKUP(N209,References!$B$7:$F$252,5,FALSE)</f>
        <v>36</v>
      </c>
      <c r="S209"/>
    </row>
    <row r="210" spans="1:19" x14ac:dyDescent="0.2">
      <c r="A210" s="868" t="s">
        <v>260</v>
      </c>
      <c r="B210" s="869" t="s">
        <v>261</v>
      </c>
      <c r="C210" s="832">
        <v>428.2</v>
      </c>
      <c r="D210" s="832" t="s">
        <v>262</v>
      </c>
      <c r="E210" s="149" t="s">
        <v>261</v>
      </c>
      <c r="F210" s="145" t="s">
        <v>262</v>
      </c>
      <c r="G210" s="58">
        <v>-0.96</v>
      </c>
      <c r="H210" s="58" t="s">
        <v>568</v>
      </c>
      <c r="I210" s="58" t="s">
        <v>522</v>
      </c>
      <c r="J210" s="433">
        <f t="shared" si="54"/>
        <v>0.10964781961431849</v>
      </c>
      <c r="K210" s="178">
        <f t="shared" si="55"/>
        <v>-0.96</v>
      </c>
      <c r="L210" s="433">
        <f t="shared" si="56"/>
        <v>8.2242855353443914E-4</v>
      </c>
      <c r="M210" s="58" t="s">
        <v>33</v>
      </c>
      <c r="N210" s="30" t="s">
        <v>523</v>
      </c>
      <c r="O210" s="100">
        <f>VLOOKUP(N210,References!$B$7:$F$252,5,FALSE)</f>
        <v>127</v>
      </c>
      <c r="S210"/>
    </row>
    <row r="211" spans="1:19" x14ac:dyDescent="0.2">
      <c r="A211" s="868"/>
      <c r="B211" s="869"/>
      <c r="C211" s="832"/>
      <c r="D211" s="834"/>
      <c r="E211" s="182" t="s">
        <v>261</v>
      </c>
      <c r="F211" s="239" t="s">
        <v>262</v>
      </c>
      <c r="G211" s="327">
        <v>8.2399999999999997E-7</v>
      </c>
      <c r="H211" s="59" t="s">
        <v>564</v>
      </c>
      <c r="I211" s="59" t="s">
        <v>515</v>
      </c>
      <c r="J211" s="469">
        <f t="shared" si="54"/>
        <v>1.0985732799999999E-4</v>
      </c>
      <c r="K211" s="183">
        <f t="shared" si="55"/>
        <v>-3.959170968294524</v>
      </c>
      <c r="L211" s="469">
        <f t="shared" si="56"/>
        <v>8.2399999999999997E-7</v>
      </c>
      <c r="M211" s="59" t="s">
        <v>33</v>
      </c>
      <c r="N211" s="37" t="s">
        <v>511</v>
      </c>
      <c r="O211" s="100">
        <f>VLOOKUP(N211,References!$B$7:$F$252,5,FALSE)</f>
        <v>36</v>
      </c>
      <c r="S211"/>
    </row>
    <row r="212" spans="1:19" x14ac:dyDescent="0.2">
      <c r="A212" s="867" t="s">
        <v>266</v>
      </c>
      <c r="B212" s="850" t="s">
        <v>267</v>
      </c>
      <c r="C212" s="833">
        <v>528.20000000000005</v>
      </c>
      <c r="D212" s="833" t="s">
        <v>268</v>
      </c>
      <c r="E212" s="150" t="s">
        <v>267</v>
      </c>
      <c r="F212" s="151" t="s">
        <v>268</v>
      </c>
      <c r="G212" s="57">
        <v>-2.08</v>
      </c>
      <c r="H212" s="57" t="s">
        <v>568</v>
      </c>
      <c r="I212" s="57" t="s">
        <v>522</v>
      </c>
      <c r="J212" s="433">
        <f t="shared" si="54"/>
        <v>8.3176377110267055E-3</v>
      </c>
      <c r="K212" s="181">
        <f t="shared" si="55"/>
        <v>-2.08</v>
      </c>
      <c r="L212" s="433">
        <f t="shared" si="56"/>
        <v>6.2387585777491371E-5</v>
      </c>
      <c r="M212" s="57" t="s">
        <v>33</v>
      </c>
      <c r="N212" s="41" t="s">
        <v>523</v>
      </c>
      <c r="O212" s="121">
        <f>VLOOKUP(N212,References!$B$7:$F$252,5,FALSE)</f>
        <v>127</v>
      </c>
      <c r="S212"/>
    </row>
    <row r="213" spans="1:19" x14ac:dyDescent="0.2">
      <c r="A213" s="879"/>
      <c r="B213" s="851"/>
      <c r="C213" s="834"/>
      <c r="D213" s="834"/>
      <c r="E213" s="182" t="s">
        <v>267</v>
      </c>
      <c r="F213" s="239" t="s">
        <v>268</v>
      </c>
      <c r="G213" s="327">
        <v>1.0000000000000001E-5</v>
      </c>
      <c r="H213" s="59" t="s">
        <v>564</v>
      </c>
      <c r="I213" s="59" t="s">
        <v>515</v>
      </c>
      <c r="J213" s="469">
        <f t="shared" si="54"/>
        <v>1.3332200000000002E-3</v>
      </c>
      <c r="K213" s="183">
        <f t="shared" si="55"/>
        <v>-2.8750981799916393</v>
      </c>
      <c r="L213" s="469">
        <f t="shared" si="56"/>
        <v>1.0000000000000001E-5</v>
      </c>
      <c r="M213" s="59" t="s">
        <v>33</v>
      </c>
      <c r="N213" s="37" t="s">
        <v>511</v>
      </c>
      <c r="O213" s="122">
        <f>VLOOKUP(N213,References!$B$7:$F$252,5,FALSE)</f>
        <v>36</v>
      </c>
      <c r="S213"/>
    </row>
    <row r="214" spans="1:19" x14ac:dyDescent="0.2">
      <c r="A214" s="867" t="s">
        <v>272</v>
      </c>
      <c r="B214" s="850" t="s">
        <v>273</v>
      </c>
      <c r="C214" s="833">
        <v>628.20000000000005</v>
      </c>
      <c r="D214" s="833" t="s">
        <v>275</v>
      </c>
      <c r="E214" s="149" t="s">
        <v>273</v>
      </c>
      <c r="F214" s="145" t="s">
        <v>275</v>
      </c>
      <c r="G214" s="350">
        <v>-2.95</v>
      </c>
      <c r="H214" s="57" t="s">
        <v>568</v>
      </c>
      <c r="I214" s="57" t="s">
        <v>522</v>
      </c>
      <c r="J214" s="433">
        <f t="shared" ref="J214" si="84">IF(H214="Pa",G214,IF(H214="log-Pa",10^G214,IF(H214="mm Hg",G214*133.322,0)))</f>
        <v>1.1220184543019622E-3</v>
      </c>
      <c r="K214" s="181">
        <f t="shared" ref="K214" si="85">IF(H214="Pa",LOG(G214),IF(H214="log-Pa",G214,IF(H214="mm Hg",LOG(G214*133.322),0)))</f>
        <v>-2.95</v>
      </c>
      <c r="L214" s="433">
        <f t="shared" ref="L214" si="86">IF(H214="Pa",G214/133.322,IF(H214="log-Pa",(10^G214)/133.322,IF(H214="mm Hg",G214,0)))</f>
        <v>8.4158537548338768E-6</v>
      </c>
      <c r="M214" s="57" t="s">
        <v>33</v>
      </c>
      <c r="N214" s="41" t="s">
        <v>523</v>
      </c>
      <c r="O214" s="121">
        <f>VLOOKUP(N214,References!$B$7:$F$252,5,FALSE)</f>
        <v>127</v>
      </c>
      <c r="S214"/>
    </row>
    <row r="215" spans="1:19" ht="17" thickBot="1" x14ac:dyDescent="0.25">
      <c r="A215" s="880"/>
      <c r="B215" s="881"/>
      <c r="C215" s="845"/>
      <c r="D215" s="845"/>
      <c r="E215" s="149" t="s">
        <v>273</v>
      </c>
      <c r="F215" s="145" t="s">
        <v>275</v>
      </c>
      <c r="G215" s="354">
        <v>1.42E-5</v>
      </c>
      <c r="H215" s="58" t="s">
        <v>564</v>
      </c>
      <c r="I215" s="58" t="s">
        <v>515</v>
      </c>
      <c r="J215" s="433">
        <f t="shared" si="54"/>
        <v>1.8931724E-3</v>
      </c>
      <c r="K215" s="178">
        <f t="shared" si="55"/>
        <v>-2.722809835608583</v>
      </c>
      <c r="L215" s="433">
        <f t="shared" si="56"/>
        <v>1.42E-5</v>
      </c>
      <c r="M215" s="58" t="s">
        <v>33</v>
      </c>
      <c r="N215" s="30" t="s">
        <v>511</v>
      </c>
      <c r="O215" s="100">
        <f>VLOOKUP(N215,References!$B$7:$F$252,5,FALSE)</f>
        <v>36</v>
      </c>
      <c r="S215"/>
    </row>
    <row r="216" spans="1:19" ht="17" thickBot="1" x14ac:dyDescent="0.25">
      <c r="A216" s="78" t="s">
        <v>276</v>
      </c>
      <c r="B216" s="158" t="s">
        <v>277</v>
      </c>
      <c r="C216" s="81"/>
      <c r="D216" s="81"/>
      <c r="E216" s="81"/>
      <c r="F216" s="81"/>
      <c r="G216" s="329"/>
      <c r="H216" s="81"/>
      <c r="I216" s="81"/>
      <c r="J216" s="594"/>
      <c r="K216" s="249"/>
      <c r="L216" s="594"/>
      <c r="M216" s="81"/>
      <c r="N216" s="81"/>
      <c r="O216" s="96"/>
      <c r="S216"/>
    </row>
    <row r="217" spans="1:19" x14ac:dyDescent="0.2">
      <c r="A217" s="829" t="s">
        <v>278</v>
      </c>
      <c r="B217" s="831" t="s">
        <v>279</v>
      </c>
      <c r="C217" s="831">
        <v>299.10000000000002</v>
      </c>
      <c r="D217" s="831" t="s">
        <v>280</v>
      </c>
      <c r="E217" s="290" t="s">
        <v>279</v>
      </c>
      <c r="F217" s="290" t="s">
        <v>280</v>
      </c>
      <c r="G217" s="155">
        <v>6.3</v>
      </c>
      <c r="H217" s="155" t="s">
        <v>564</v>
      </c>
      <c r="I217" s="155" t="s">
        <v>27</v>
      </c>
      <c r="J217" s="433">
        <f>IF(H217="Pa",G217,IF(H217="log-Pa",10^G217,IF(H217="mm Hg",G217*133.322,0)))</f>
        <v>839.92859999999996</v>
      </c>
      <c r="K217" s="323">
        <f>IF(H217="Pa",LOG(G217),IF(H217="log-Pa",G217,IF(H217="mm Hg",LOG(G217*133.322),0)))</f>
        <v>2.9242423694619419</v>
      </c>
      <c r="L217" s="433">
        <f>IF(H217="Pa",G217/133.322,IF(H217="log-Pa",(10^G217)/133.322,IF(H217="mm Hg",G217,0)))</f>
        <v>6.3</v>
      </c>
      <c r="M217" s="155">
        <v>105.1</v>
      </c>
      <c r="N217" s="201" t="s">
        <v>47</v>
      </c>
      <c r="O217" s="100">
        <f>VLOOKUP(N217,References!$B$7:$F$252,5,FALSE)</f>
        <v>3</v>
      </c>
      <c r="S217"/>
    </row>
    <row r="218" spans="1:19" x14ac:dyDescent="0.2">
      <c r="A218" s="830"/>
      <c r="B218" s="832"/>
      <c r="C218" s="832"/>
      <c r="D218" s="832"/>
      <c r="E218" s="193" t="s">
        <v>279</v>
      </c>
      <c r="F218" s="193" t="s">
        <v>280</v>
      </c>
      <c r="G218" s="149">
        <v>16.5</v>
      </c>
      <c r="H218" s="149" t="s">
        <v>564</v>
      </c>
      <c r="I218" s="149" t="s">
        <v>27</v>
      </c>
      <c r="J218" s="433">
        <f t="shared" ref="J218:J224" si="87">IF(H218="Pa",G218,IF(H218="log-Pa",10^G218,IF(H218="mm Hg",G218*133.322,0)))</f>
        <v>2199.8130000000001</v>
      </c>
      <c r="K218" s="178">
        <f t="shared" ref="K218:K224" si="88">IF(H218="Pa",LOG(G218),IF(H218="log-Pa",G218,IF(H218="mm Hg",LOG(G218*133.322),0)))</f>
        <v>3.342385764222267</v>
      </c>
      <c r="L218" s="433">
        <f t="shared" ref="L218:L224" si="89">IF(H218="Pa",G218/133.322,IF(H218="log-Pa",(10^G218)/133.322,IF(H218="mm Hg",G218,0)))</f>
        <v>16.5</v>
      </c>
      <c r="M218" s="149">
        <v>121.7</v>
      </c>
      <c r="N218" s="30" t="s">
        <v>47</v>
      </c>
      <c r="O218" s="100">
        <f>VLOOKUP(N218,References!$B$7:$F$252,5,FALSE)</f>
        <v>3</v>
      </c>
      <c r="S218"/>
    </row>
    <row r="219" spans="1:19" x14ac:dyDescent="0.2">
      <c r="A219" s="830"/>
      <c r="B219" s="832"/>
      <c r="C219" s="832"/>
      <c r="D219" s="832"/>
      <c r="E219" s="193" t="s">
        <v>279</v>
      </c>
      <c r="F219" s="193" t="s">
        <v>280</v>
      </c>
      <c r="G219" s="149">
        <v>3.8</v>
      </c>
      <c r="H219" s="149" t="s">
        <v>564</v>
      </c>
      <c r="I219" s="149" t="s">
        <v>27</v>
      </c>
      <c r="J219" s="433">
        <f t="shared" si="87"/>
        <v>506.62360000000001</v>
      </c>
      <c r="K219" s="178">
        <f t="shared" si="88"/>
        <v>2.7046854166251708</v>
      </c>
      <c r="L219" s="433">
        <f t="shared" si="89"/>
        <v>3.8</v>
      </c>
      <c r="M219" s="149">
        <v>94.3</v>
      </c>
      <c r="N219" s="30" t="s">
        <v>47</v>
      </c>
      <c r="O219" s="100">
        <f>VLOOKUP(N219,References!$B$7:$F$252,5,FALSE)</f>
        <v>3</v>
      </c>
      <c r="S219"/>
    </row>
    <row r="220" spans="1:19" x14ac:dyDescent="0.2">
      <c r="A220" s="830"/>
      <c r="B220" s="832"/>
      <c r="C220" s="832"/>
      <c r="D220" s="832"/>
      <c r="E220" s="193" t="s">
        <v>279</v>
      </c>
      <c r="F220" s="193" t="s">
        <v>280</v>
      </c>
      <c r="G220" s="149">
        <v>25.8</v>
      </c>
      <c r="H220" s="149" t="s">
        <v>564</v>
      </c>
      <c r="I220" s="149" t="s">
        <v>27</v>
      </c>
      <c r="J220" s="433">
        <f t="shared" si="87"/>
        <v>3439.7076000000002</v>
      </c>
      <c r="K220" s="178">
        <f t="shared" si="88"/>
        <v>3.5365215259715908</v>
      </c>
      <c r="L220" s="433">
        <f t="shared" si="89"/>
        <v>25.8</v>
      </c>
      <c r="M220" s="149">
        <v>131.4</v>
      </c>
      <c r="N220" s="30" t="s">
        <v>47</v>
      </c>
      <c r="O220" s="100">
        <f>VLOOKUP(N220,References!$B$7:$F$252,5,FALSE)</f>
        <v>3</v>
      </c>
      <c r="S220"/>
    </row>
    <row r="221" spans="1:19" x14ac:dyDescent="0.2">
      <c r="A221" s="830"/>
      <c r="B221" s="832"/>
      <c r="C221" s="832"/>
      <c r="D221" s="832"/>
      <c r="E221" s="193" t="s">
        <v>279</v>
      </c>
      <c r="F221" s="193" t="s">
        <v>280</v>
      </c>
      <c r="G221" s="149">
        <v>351.4</v>
      </c>
      <c r="H221" s="149" t="s">
        <v>564</v>
      </c>
      <c r="I221" s="149" t="s">
        <v>27</v>
      </c>
      <c r="J221" s="433">
        <f t="shared" si="87"/>
        <v>46849.3508</v>
      </c>
      <c r="K221" s="178">
        <f t="shared" si="88"/>
        <v>4.6707035771676368</v>
      </c>
      <c r="L221" s="433">
        <f t="shared" si="89"/>
        <v>351.4</v>
      </c>
      <c r="M221" s="149">
        <v>196.3</v>
      </c>
      <c r="N221" s="30" t="s">
        <v>47</v>
      </c>
      <c r="O221" s="100">
        <f>VLOOKUP(N221,References!$B$7:$F$252,5,FALSE)</f>
        <v>3</v>
      </c>
      <c r="S221"/>
    </row>
    <row r="222" spans="1:19" x14ac:dyDescent="0.2">
      <c r="A222" s="830"/>
      <c r="B222" s="832"/>
      <c r="C222" s="832"/>
      <c r="D222" s="832"/>
      <c r="E222" s="193" t="s">
        <v>279</v>
      </c>
      <c r="F222" s="193" t="s">
        <v>280</v>
      </c>
      <c r="G222" s="372">
        <v>6.3E-3</v>
      </c>
      <c r="H222" s="149" t="s">
        <v>564</v>
      </c>
      <c r="I222" s="149" t="s">
        <v>27</v>
      </c>
      <c r="J222" s="433">
        <f t="shared" ref="J222:J223" si="90">IF(H222="Pa",G222,IF(H222="log-Pa",10^G222,IF(H222="mm Hg",G222*133.322,0)))</f>
        <v>0.83992860000000003</v>
      </c>
      <c r="K222" s="178">
        <f t="shared" ref="K222:K223" si="91">IF(H222="Pa",LOG(G222),IF(H222="log-Pa",G222,IF(H222="mm Hg",LOG(G222*133.322),0)))</f>
        <v>-7.5757630538057827E-2</v>
      </c>
      <c r="L222" s="433">
        <f t="shared" ref="L222:L223" si="92">IF(H222="Pa",G222/133.322,IF(H222="log-Pa",(10^G222)/133.322,IF(H222="mm Hg",G222,0)))</f>
        <v>6.3E-3</v>
      </c>
      <c r="M222" s="149">
        <v>25</v>
      </c>
      <c r="N222" s="30" t="s">
        <v>47</v>
      </c>
      <c r="O222" s="100">
        <f>VLOOKUP(N222,References!$B$7:$F$252,5,FALSE)</f>
        <v>3</v>
      </c>
      <c r="S222"/>
    </row>
    <row r="223" spans="1:19" x14ac:dyDescent="0.2">
      <c r="A223" s="830"/>
      <c r="B223" s="832"/>
      <c r="C223" s="832"/>
      <c r="D223" s="832"/>
      <c r="E223" s="193" t="s">
        <v>279</v>
      </c>
      <c r="F223" s="193" t="s">
        <v>280</v>
      </c>
      <c r="G223" s="455">
        <v>7.4200000000000004E-3</v>
      </c>
      <c r="H223" s="149" t="s">
        <v>564</v>
      </c>
      <c r="I223" s="149" t="s">
        <v>515</v>
      </c>
      <c r="J223" s="433">
        <f t="shared" si="90"/>
        <v>0.98924924000000003</v>
      </c>
      <c r="K223" s="355">
        <f t="shared" si="91"/>
        <v>-4.6942747126124638E-3</v>
      </c>
      <c r="L223" s="433">
        <f t="shared" si="92"/>
        <v>7.4200000000000004E-3</v>
      </c>
      <c r="M223" s="149" t="s">
        <v>33</v>
      </c>
      <c r="N223" s="30" t="s">
        <v>511</v>
      </c>
      <c r="O223" s="100">
        <f>VLOOKUP(N223,References!$B$7:$F$252,5,FALSE)</f>
        <v>36</v>
      </c>
      <c r="S223"/>
    </row>
    <row r="224" spans="1:19" x14ac:dyDescent="0.2">
      <c r="A224" s="847"/>
      <c r="B224" s="834"/>
      <c r="C224" s="834"/>
      <c r="D224" s="834"/>
      <c r="E224" s="247" t="s">
        <v>279</v>
      </c>
      <c r="F224" s="247" t="s">
        <v>280</v>
      </c>
      <c r="G224" s="357">
        <v>2.14</v>
      </c>
      <c r="H224" s="182" t="s">
        <v>564</v>
      </c>
      <c r="I224" s="182" t="s">
        <v>514</v>
      </c>
      <c r="J224" s="469">
        <f t="shared" si="87"/>
        <v>285.30907999999999</v>
      </c>
      <c r="K224" s="183">
        <f t="shared" si="88"/>
        <v>2.4553155933575512</v>
      </c>
      <c r="L224" s="469">
        <f t="shared" si="89"/>
        <v>2.14</v>
      </c>
      <c r="M224" s="182" t="s">
        <v>33</v>
      </c>
      <c r="N224" s="37" t="s">
        <v>511</v>
      </c>
      <c r="O224" s="122">
        <f>VLOOKUP(N224,References!$B$7:$F$252,5,FALSE)</f>
        <v>36</v>
      </c>
      <c r="S224"/>
    </row>
    <row r="225" spans="1:19" x14ac:dyDescent="0.2">
      <c r="A225" s="830" t="s">
        <v>283</v>
      </c>
      <c r="B225" s="832" t="s">
        <v>284</v>
      </c>
      <c r="C225" s="832">
        <v>399.1</v>
      </c>
      <c r="D225" s="832" t="s">
        <v>285</v>
      </c>
      <c r="E225" s="193" t="s">
        <v>284</v>
      </c>
      <c r="F225" s="193" t="s">
        <v>285</v>
      </c>
      <c r="G225" s="455">
        <v>2.4899999999999998E-4</v>
      </c>
      <c r="H225" s="149" t="s">
        <v>564</v>
      </c>
      <c r="I225" s="149" t="s">
        <v>515</v>
      </c>
      <c r="J225" s="433">
        <f>IF(H225="Pa",G225,IF(H225="log-Pa",10^G225,IF(H225="mm Hg",G225*133.322,0)))</f>
        <v>3.3197178000000001E-2</v>
      </c>
      <c r="K225" s="178">
        <f>IF(H225="Pa",LOG(G225),IF(H225="log-Pa",G225,IF(H225="mm Hg",LOG(G225*133.322),0)))</f>
        <v>-1.4788988328959032</v>
      </c>
      <c r="L225" s="433">
        <f>IF(H225="Pa",G225/133.322,IF(H225="log-Pa",(10^G225)/133.322,IF(H225="mm Hg",G225,0)))</f>
        <v>2.4899999999999998E-4</v>
      </c>
      <c r="M225" s="58" t="s">
        <v>33</v>
      </c>
      <c r="N225" s="193" t="s">
        <v>511</v>
      </c>
      <c r="O225" s="121">
        <f>VLOOKUP(N225,References!$B$7:$F$252,5,FALSE)</f>
        <v>36</v>
      </c>
      <c r="S225"/>
    </row>
    <row r="226" spans="1:19" x14ac:dyDescent="0.2">
      <c r="A226" s="830"/>
      <c r="B226" s="832"/>
      <c r="C226" s="832"/>
      <c r="D226" s="832"/>
      <c r="E226" s="193" t="s">
        <v>284</v>
      </c>
      <c r="F226" s="193" t="s">
        <v>285</v>
      </c>
      <c r="G226" s="149">
        <v>0.42299999999999999</v>
      </c>
      <c r="H226" s="149" t="s">
        <v>564</v>
      </c>
      <c r="I226" s="149" t="s">
        <v>514</v>
      </c>
      <c r="J226" s="433">
        <f t="shared" ref="J226:J227" si="93">IF(H226="Pa",G226,IF(H226="log-Pa",10^G226,IF(H226="mm Hg",G226*133.322,0)))</f>
        <v>56.395206000000002</v>
      </c>
      <c r="K226" s="178">
        <f t="shared" ref="K226:K227" si="94">IF(H226="Pa",LOG(G226),IF(H226="log-Pa",G226,IF(H226="mm Hg",LOG(G226*133.322),0)))</f>
        <v>1.7512421873834028</v>
      </c>
      <c r="L226" s="433">
        <f t="shared" ref="L226:L227" si="95">IF(H226="Pa",G226/133.322,IF(H226="log-Pa",(10^G226)/133.322,IF(H226="mm Hg",G226,0)))</f>
        <v>0.42299999999999999</v>
      </c>
      <c r="M226" s="149" t="s">
        <v>33</v>
      </c>
      <c r="N226" s="30" t="s">
        <v>511</v>
      </c>
      <c r="O226" s="100">
        <f>VLOOKUP(N226,References!$B$7:$F$252,5,FALSE)</f>
        <v>36</v>
      </c>
      <c r="S226"/>
    </row>
    <row r="227" spans="1:19" x14ac:dyDescent="0.2">
      <c r="A227" s="847"/>
      <c r="B227" s="834"/>
      <c r="C227" s="834"/>
      <c r="D227" s="834"/>
      <c r="E227" s="247" t="s">
        <v>284</v>
      </c>
      <c r="F227" s="247" t="s">
        <v>285</v>
      </c>
      <c r="G227" s="182">
        <v>3.02</v>
      </c>
      <c r="H227" s="182" t="s">
        <v>564</v>
      </c>
      <c r="I227" s="182" t="s">
        <v>512</v>
      </c>
      <c r="J227" s="469">
        <f t="shared" si="93"/>
        <v>402.63244000000003</v>
      </c>
      <c r="K227" s="183">
        <f t="shared" si="94"/>
        <v>2.6049087629655112</v>
      </c>
      <c r="L227" s="469">
        <f t="shared" si="95"/>
        <v>3.02</v>
      </c>
      <c r="M227" s="182" t="s">
        <v>33</v>
      </c>
      <c r="N227" s="37" t="s">
        <v>511</v>
      </c>
      <c r="O227" s="122">
        <f>VLOOKUP(N227,References!$B$7:$F$252,5,FALSE)</f>
        <v>36</v>
      </c>
      <c r="S227"/>
    </row>
    <row r="228" spans="1:19" x14ac:dyDescent="0.2">
      <c r="A228" s="868" t="s">
        <v>290</v>
      </c>
      <c r="B228" s="869" t="s">
        <v>291</v>
      </c>
      <c r="C228" s="832">
        <v>499.1</v>
      </c>
      <c r="D228" s="832" t="s">
        <v>293</v>
      </c>
      <c r="E228" s="149" t="s">
        <v>291</v>
      </c>
      <c r="F228" s="145" t="s">
        <v>293</v>
      </c>
      <c r="G228" s="58">
        <v>-0.99</v>
      </c>
      <c r="H228" s="58" t="s">
        <v>568</v>
      </c>
      <c r="I228" s="58" t="s">
        <v>522</v>
      </c>
      <c r="J228" s="433">
        <f>IF(H228="Pa",G228,IF(H228="log-Pa",10^G228,IF(H228="mm Hg",G228*133.322,0)))</f>
        <v>0.10232929922807538</v>
      </c>
      <c r="K228" s="178">
        <f>IF(H228="Pa",LOG(G228),IF(H228="log-Pa",G228,IF(H228="mm Hg",LOG(G228*133.322),0)))</f>
        <v>-0.99</v>
      </c>
      <c r="L228" s="433">
        <f>IF(H228="Pa",G228/133.322,IF(H228="log-Pa",(10^G228)/133.322,IF(H228="mm Hg",G228,0)))</f>
        <v>7.6753498468426344E-4</v>
      </c>
      <c r="M228" s="58">
        <v>25</v>
      </c>
      <c r="N228" s="30" t="s">
        <v>570</v>
      </c>
      <c r="O228" s="121">
        <f>VLOOKUP(N228,References!$B$7:$F$252,5,FALSE)</f>
        <v>9</v>
      </c>
      <c r="S228"/>
    </row>
    <row r="229" spans="1:19" x14ac:dyDescent="0.2">
      <c r="A229" s="868"/>
      <c r="B229" s="869"/>
      <c r="C229" s="832"/>
      <c r="D229" s="832"/>
      <c r="E229" s="149" t="s">
        <v>291</v>
      </c>
      <c r="F229" s="145" t="s">
        <v>293</v>
      </c>
      <c r="G229" s="58">
        <v>1.82</v>
      </c>
      <c r="H229" s="58" t="s">
        <v>568</v>
      </c>
      <c r="I229" s="58" t="s">
        <v>571</v>
      </c>
      <c r="J229" s="433">
        <f>IF(H229="Pa",G229,IF(H229="log-Pa",10^G229,IF(H229="mm Hg",G229*133.322,0)))</f>
        <v>66.069344800759623</v>
      </c>
      <c r="K229" s="178">
        <f>IF(H229="Pa",LOG(G229),IF(H229="log-Pa",G229,IF(H229="mm Hg",LOG(G229*133.322),0)))</f>
        <v>1.82</v>
      </c>
      <c r="L229" s="433">
        <f>IF(H229="Pa",G229/133.322,IF(H229="log-Pa",(10^G229)/133.322,IF(H229="mm Hg",G229,0)))</f>
        <v>0.49556220879344459</v>
      </c>
      <c r="M229" s="58">
        <v>25</v>
      </c>
      <c r="N229" s="30" t="s">
        <v>570</v>
      </c>
      <c r="O229" s="100">
        <f>VLOOKUP(N229,References!$B$7:$F$252,5,FALSE)</f>
        <v>9</v>
      </c>
      <c r="S229"/>
    </row>
    <row r="230" spans="1:19" x14ac:dyDescent="0.2">
      <c r="A230" s="868"/>
      <c r="B230" s="869"/>
      <c r="C230" s="832"/>
      <c r="D230" s="832"/>
      <c r="E230" s="149" t="s">
        <v>291</v>
      </c>
      <c r="F230" s="145" t="s">
        <v>293</v>
      </c>
      <c r="G230" s="58">
        <v>1.81</v>
      </c>
      <c r="H230" s="58" t="s">
        <v>568</v>
      </c>
      <c r="I230" s="58" t="s">
        <v>513</v>
      </c>
      <c r="J230" s="433">
        <f>IF(H230="Pa",G230,IF(H230="log-Pa",10^G230,IF(H230="mm Hg",G230*133.322,0)))</f>
        <v>64.565422903465588</v>
      </c>
      <c r="K230" s="178">
        <f>IF(H230="Pa",LOG(G230),IF(H230="log-Pa",G230,IF(H230="mm Hg",LOG(G230*133.322),0)))</f>
        <v>1.81</v>
      </c>
      <c r="L230" s="433">
        <f>IF(H230="Pa",G230/133.322,IF(H230="log-Pa",(10^G230)/133.322,IF(H230="mm Hg",G230,0)))</f>
        <v>0.48428183573202915</v>
      </c>
      <c r="M230" s="58">
        <v>25</v>
      </c>
      <c r="N230" s="30" t="s">
        <v>570</v>
      </c>
      <c r="O230" s="100">
        <f>VLOOKUP(N230,References!$B$7:$F$252,5,FALSE)</f>
        <v>9</v>
      </c>
      <c r="S230"/>
    </row>
    <row r="231" spans="1:19" x14ac:dyDescent="0.2">
      <c r="A231" s="868"/>
      <c r="B231" s="869"/>
      <c r="C231" s="832"/>
      <c r="D231" s="832"/>
      <c r="E231" s="149" t="s">
        <v>291</v>
      </c>
      <c r="F231" s="145" t="s">
        <v>293</v>
      </c>
      <c r="G231" s="58">
        <v>-1.06</v>
      </c>
      <c r="H231" s="58" t="s">
        <v>568</v>
      </c>
      <c r="I231" s="58" t="s">
        <v>519</v>
      </c>
      <c r="J231" s="433">
        <f t="shared" si="54"/>
        <v>8.7096358995608011E-2</v>
      </c>
      <c r="K231" s="178">
        <f t="shared" si="55"/>
        <v>-1.06</v>
      </c>
      <c r="L231" s="433">
        <f t="shared" si="56"/>
        <v>6.5327822111585488E-4</v>
      </c>
      <c r="M231" s="58">
        <v>25</v>
      </c>
      <c r="N231" s="30" t="s">
        <v>520</v>
      </c>
      <c r="O231" s="100">
        <f>VLOOKUP(N231,References!$B$7:$F$252,5,FALSE)</f>
        <v>14</v>
      </c>
      <c r="S231"/>
    </row>
    <row r="232" spans="1:19" x14ac:dyDescent="0.2">
      <c r="A232" s="868"/>
      <c r="B232" s="869"/>
      <c r="C232" s="832"/>
      <c r="D232" s="832"/>
      <c r="E232" s="149" t="s">
        <v>291</v>
      </c>
      <c r="F232" s="145" t="s">
        <v>293</v>
      </c>
      <c r="G232" s="58">
        <v>-0.61</v>
      </c>
      <c r="H232" s="58" t="s">
        <v>568</v>
      </c>
      <c r="I232" s="58" t="s">
        <v>522</v>
      </c>
      <c r="J232" s="433">
        <f t="shared" si="54"/>
        <v>0.24547089156850299</v>
      </c>
      <c r="K232" s="178">
        <f t="shared" si="55"/>
        <v>-0.61</v>
      </c>
      <c r="L232" s="433">
        <f t="shared" si="56"/>
        <v>1.8411881877597319E-3</v>
      </c>
      <c r="M232" s="58" t="s">
        <v>33</v>
      </c>
      <c r="N232" s="30" t="s">
        <v>523</v>
      </c>
      <c r="O232" s="100">
        <f>VLOOKUP(N232,References!$B$7:$F$252,5,FALSE)</f>
        <v>127</v>
      </c>
      <c r="S232"/>
    </row>
    <row r="233" spans="1:19" x14ac:dyDescent="0.2">
      <c r="A233" s="868"/>
      <c r="B233" s="869"/>
      <c r="C233" s="832"/>
      <c r="D233" s="832"/>
      <c r="E233" s="149" t="s">
        <v>291</v>
      </c>
      <c r="F233" s="145" t="s">
        <v>293</v>
      </c>
      <c r="G233" s="58">
        <v>1.18</v>
      </c>
      <c r="H233" s="58" t="s">
        <v>568</v>
      </c>
      <c r="I233" s="58" t="s">
        <v>524</v>
      </c>
      <c r="J233" s="433">
        <f>IF(H233="Pa",G233,IF(H233="log-Pa",10^G233,IF(H233="mm Hg",G233*133.322,0)))</f>
        <v>15.135612484362087</v>
      </c>
      <c r="K233" s="178">
        <f>IF(H233="Pa",LOG(G233),IF(H233="log-Pa",G233,IF(H233="mm Hg",LOG(G233*133.322),0)))</f>
        <v>1.18</v>
      </c>
      <c r="L233" s="433">
        <f>IF(H233="Pa",G233/133.322,IF(H233="log-Pa",(10^G233)/133.322,IF(H233="mm Hg",G233,0)))</f>
        <v>0.11352674340590514</v>
      </c>
      <c r="M233" s="58">
        <v>25</v>
      </c>
      <c r="N233" s="30" t="s">
        <v>525</v>
      </c>
      <c r="O233" s="100">
        <f>VLOOKUP(N233,References!$B$7:$F$252,5,FALSE)</f>
        <v>61</v>
      </c>
      <c r="S233"/>
    </row>
    <row r="234" spans="1:19" x14ac:dyDescent="0.2">
      <c r="A234" s="868"/>
      <c r="B234" s="869"/>
      <c r="C234" s="832"/>
      <c r="D234" s="832"/>
      <c r="E234" s="149" t="s">
        <v>291</v>
      </c>
      <c r="F234" s="145" t="s">
        <v>293</v>
      </c>
      <c r="G234" s="58">
        <v>0.25</v>
      </c>
      <c r="H234" s="58" t="s">
        <v>564</v>
      </c>
      <c r="I234" s="58" t="s">
        <v>27</v>
      </c>
      <c r="J234" s="433">
        <f>IF(H234="Pa",G234,IF(H234="log-Pa",10^G234,IF(H234="mm Hg",G234*133.322,0)))</f>
        <v>33.330500000000001</v>
      </c>
      <c r="K234" s="178">
        <f>IF(H234="Pa",LOG(G234),IF(H234="log-Pa",G234,IF(H234="mm Hg",LOG(G234*133.322),0)))</f>
        <v>1.522841828680398</v>
      </c>
      <c r="L234" s="433">
        <f>IF(H234="Pa",G234/133.322,IF(H234="log-Pa",(10^G234)/133.322,IF(H234="mm Hg",G234,0)))</f>
        <v>0.25</v>
      </c>
      <c r="M234" s="58" t="s">
        <v>33</v>
      </c>
      <c r="N234" s="30" t="s">
        <v>47</v>
      </c>
      <c r="O234" s="100">
        <f>VLOOKUP(N234,References!$B$7:$F$252,5,FALSE)</f>
        <v>3</v>
      </c>
      <c r="S234"/>
    </row>
    <row r="235" spans="1:19" x14ac:dyDescent="0.2">
      <c r="A235" s="868"/>
      <c r="B235" s="869"/>
      <c r="C235" s="832"/>
      <c r="D235" s="832"/>
      <c r="E235" s="149" t="s">
        <v>291</v>
      </c>
      <c r="F235" s="145" t="s">
        <v>293</v>
      </c>
      <c r="G235" s="58">
        <v>0.95499999999999996</v>
      </c>
      <c r="H235" s="58" t="s">
        <v>564</v>
      </c>
      <c r="I235" s="58" t="s">
        <v>512</v>
      </c>
      <c r="J235" s="433">
        <f t="shared" si="54"/>
        <v>127.32250999999999</v>
      </c>
      <c r="K235" s="178">
        <f t="shared" si="55"/>
        <v>2.1049051915921067</v>
      </c>
      <c r="L235" s="433">
        <f t="shared" si="56"/>
        <v>0.95499999999999996</v>
      </c>
      <c r="M235" s="58" t="s">
        <v>33</v>
      </c>
      <c r="N235" s="30" t="s">
        <v>511</v>
      </c>
      <c r="O235" s="100">
        <f>VLOOKUP(N235,References!$B$7:$F$252,5,FALSE)</f>
        <v>36</v>
      </c>
      <c r="S235"/>
    </row>
    <row r="236" spans="1:19" x14ac:dyDescent="0.2">
      <c r="A236" s="868"/>
      <c r="B236" s="869"/>
      <c r="C236" s="832"/>
      <c r="D236" s="832"/>
      <c r="E236" s="149" t="s">
        <v>291</v>
      </c>
      <c r="F236" s="145" t="s">
        <v>293</v>
      </c>
      <c r="G236" s="350">
        <v>7.85E-2</v>
      </c>
      <c r="H236" s="58" t="s">
        <v>564</v>
      </c>
      <c r="I236" s="58" t="s">
        <v>514</v>
      </c>
      <c r="J236" s="433">
        <f t="shared" si="54"/>
        <v>10.465777000000001</v>
      </c>
      <c r="K236" s="178">
        <f t="shared" si="55"/>
        <v>1.019771476753613</v>
      </c>
      <c r="L236" s="433">
        <f t="shared" si="56"/>
        <v>7.85E-2</v>
      </c>
      <c r="M236" s="58" t="s">
        <v>33</v>
      </c>
      <c r="N236" s="30" t="s">
        <v>511</v>
      </c>
      <c r="O236" s="100">
        <f>VLOOKUP(N236,References!$B$7:$F$252,5,FALSE)</f>
        <v>36</v>
      </c>
      <c r="S236"/>
    </row>
    <row r="237" spans="1:19" x14ac:dyDescent="0.2">
      <c r="A237" s="879"/>
      <c r="B237" s="851"/>
      <c r="C237" s="834"/>
      <c r="D237" s="834"/>
      <c r="E237" s="182" t="s">
        <v>291</v>
      </c>
      <c r="F237" s="239" t="s">
        <v>293</v>
      </c>
      <c r="G237" s="59">
        <v>0.245</v>
      </c>
      <c r="H237" s="59" t="s">
        <v>564</v>
      </c>
      <c r="I237" s="59" t="s">
        <v>515</v>
      </c>
      <c r="J237" s="469">
        <f t="shared" si="54"/>
        <v>32.663890000000002</v>
      </c>
      <c r="K237" s="183">
        <f t="shared" si="55"/>
        <v>1.5140679043728928</v>
      </c>
      <c r="L237" s="469">
        <f t="shared" si="56"/>
        <v>0.245</v>
      </c>
      <c r="M237" s="59" t="s">
        <v>33</v>
      </c>
      <c r="N237" s="37" t="s">
        <v>511</v>
      </c>
      <c r="O237" s="122">
        <f>VLOOKUP(N237,References!$B$7:$F$252,5,FALSE)</f>
        <v>36</v>
      </c>
      <c r="S237"/>
    </row>
    <row r="238" spans="1:19" x14ac:dyDescent="0.2">
      <c r="A238" s="867" t="s">
        <v>298</v>
      </c>
      <c r="B238" s="850" t="s">
        <v>299</v>
      </c>
      <c r="C238" s="833">
        <v>513.20000000000005</v>
      </c>
      <c r="D238" s="832" t="s">
        <v>301</v>
      </c>
      <c r="E238" s="149" t="s">
        <v>299</v>
      </c>
      <c r="F238" s="145" t="s">
        <v>301</v>
      </c>
      <c r="G238" s="58">
        <v>-0.53</v>
      </c>
      <c r="H238" s="58" t="s">
        <v>568</v>
      </c>
      <c r="I238" s="58" t="s">
        <v>522</v>
      </c>
      <c r="J238" s="433">
        <f t="shared" si="54"/>
        <v>0.29512092266663847</v>
      </c>
      <c r="K238" s="178">
        <f t="shared" si="55"/>
        <v>-0.53</v>
      </c>
      <c r="L238" s="433">
        <f t="shared" si="56"/>
        <v>2.2135950755812128E-3</v>
      </c>
      <c r="M238" s="58" t="s">
        <v>33</v>
      </c>
      <c r="N238" s="30" t="s">
        <v>523</v>
      </c>
      <c r="O238" s="121">
        <f>VLOOKUP(N238,References!$B$7:$F$252,5,FALSE)</f>
        <v>127</v>
      </c>
      <c r="S238"/>
    </row>
    <row r="239" spans="1:19" x14ac:dyDescent="0.2">
      <c r="A239" s="868"/>
      <c r="B239" s="869"/>
      <c r="C239" s="832"/>
      <c r="D239" s="832"/>
      <c r="E239" s="149" t="s">
        <v>299</v>
      </c>
      <c r="F239" s="145" t="s">
        <v>301</v>
      </c>
      <c r="G239" s="58">
        <v>1.01</v>
      </c>
      <c r="H239" s="58" t="s">
        <v>568</v>
      </c>
      <c r="I239" s="58" t="s">
        <v>524</v>
      </c>
      <c r="J239" s="433">
        <f t="shared" si="54"/>
        <v>10.232929922807543</v>
      </c>
      <c r="K239" s="178">
        <f t="shared" si="55"/>
        <v>1.01</v>
      </c>
      <c r="L239" s="433">
        <f t="shared" si="56"/>
        <v>7.6753498468426384E-2</v>
      </c>
      <c r="M239" s="58">
        <v>25</v>
      </c>
      <c r="N239" s="30" t="s">
        <v>525</v>
      </c>
      <c r="O239" s="100">
        <f>VLOOKUP(N239,References!$B$7:$F$252,5,FALSE)</f>
        <v>61</v>
      </c>
      <c r="S239"/>
    </row>
    <row r="240" spans="1:19" x14ac:dyDescent="0.2">
      <c r="A240" s="868"/>
      <c r="B240" s="869"/>
      <c r="C240" s="832"/>
      <c r="D240" s="832"/>
      <c r="E240" s="149" t="s">
        <v>299</v>
      </c>
      <c r="F240" s="145" t="s">
        <v>301</v>
      </c>
      <c r="G240" s="58">
        <v>0.83799999999999997</v>
      </c>
      <c r="H240" s="58" t="s">
        <v>564</v>
      </c>
      <c r="I240" s="58" t="s">
        <v>512</v>
      </c>
      <c r="J240" s="433">
        <f t="shared" si="54"/>
        <v>111.72383599999999</v>
      </c>
      <c r="K240" s="178">
        <f t="shared" si="55"/>
        <v>2.0481458386386371</v>
      </c>
      <c r="L240" s="433">
        <f t="shared" si="56"/>
        <v>0.83799999999999997</v>
      </c>
      <c r="M240" s="58" t="s">
        <v>33</v>
      </c>
      <c r="N240" s="30" t="s">
        <v>511</v>
      </c>
      <c r="O240" s="100">
        <f>VLOOKUP(N240,References!$B$7:$F$252,5,FALSE)</f>
        <v>36</v>
      </c>
      <c r="S240"/>
    </row>
    <row r="241" spans="1:19" x14ac:dyDescent="0.2">
      <c r="A241" s="868"/>
      <c r="B241" s="869"/>
      <c r="C241" s="832"/>
      <c r="D241" s="832"/>
      <c r="E241" s="149" t="s">
        <v>299</v>
      </c>
      <c r="F241" s="145" t="s">
        <v>301</v>
      </c>
      <c r="G241" s="350">
        <v>7.8E-2</v>
      </c>
      <c r="H241" s="58" t="s">
        <v>564</v>
      </c>
      <c r="I241" s="58" t="s">
        <v>514</v>
      </c>
      <c r="J241" s="433">
        <f t="shared" si="54"/>
        <v>10.399115999999999</v>
      </c>
      <c r="K241" s="178">
        <f t="shared" si="55"/>
        <v>1.0169964226988408</v>
      </c>
      <c r="L241" s="433">
        <f t="shared" si="56"/>
        <v>7.8E-2</v>
      </c>
      <c r="M241" s="58" t="s">
        <v>33</v>
      </c>
      <c r="N241" s="30" t="s">
        <v>511</v>
      </c>
      <c r="O241" s="100">
        <f>VLOOKUP(N241,References!$B$7:$F$252,5,FALSE)</f>
        <v>36</v>
      </c>
      <c r="S241"/>
    </row>
    <row r="242" spans="1:19" x14ac:dyDescent="0.2">
      <c r="A242" s="879"/>
      <c r="B242" s="851"/>
      <c r="C242" s="834"/>
      <c r="D242" s="834"/>
      <c r="E242" s="182" t="s">
        <v>299</v>
      </c>
      <c r="F242" s="239" t="s">
        <v>301</v>
      </c>
      <c r="G242" s="327">
        <v>1.2E-4</v>
      </c>
      <c r="H242" s="59" t="s">
        <v>564</v>
      </c>
      <c r="I242" s="59" t="s">
        <v>515</v>
      </c>
      <c r="J242" s="469">
        <f t="shared" si="54"/>
        <v>1.5998640000000001E-2</v>
      </c>
      <c r="K242" s="183">
        <f t="shared" si="55"/>
        <v>-1.7959169339440146</v>
      </c>
      <c r="L242" s="469">
        <f t="shared" si="56"/>
        <v>1.2E-4</v>
      </c>
      <c r="M242" s="59" t="s">
        <v>33</v>
      </c>
      <c r="N242" s="37" t="s">
        <v>511</v>
      </c>
      <c r="O242" s="122">
        <f>VLOOKUP(N242,References!$B$7:$F$252,5,FALSE)</f>
        <v>36</v>
      </c>
      <c r="S242"/>
    </row>
    <row r="243" spans="1:19" x14ac:dyDescent="0.2">
      <c r="A243" s="868" t="s">
        <v>305</v>
      </c>
      <c r="B243" s="869" t="s">
        <v>306</v>
      </c>
      <c r="C243" s="832">
        <v>527.20000000000005</v>
      </c>
      <c r="D243" s="832" t="s">
        <v>308</v>
      </c>
      <c r="E243" s="149" t="s">
        <v>306</v>
      </c>
      <c r="F243" s="145" t="s">
        <v>308</v>
      </c>
      <c r="G243" s="58">
        <v>10</v>
      </c>
      <c r="H243" s="58" t="s">
        <v>564</v>
      </c>
      <c r="I243" s="58" t="s">
        <v>27</v>
      </c>
      <c r="J243" s="433">
        <f t="shared" si="54"/>
        <v>1333.22</v>
      </c>
      <c r="K243" s="178">
        <f t="shared" si="55"/>
        <v>3.1249018200083603</v>
      </c>
      <c r="L243" s="433">
        <f t="shared" si="56"/>
        <v>10</v>
      </c>
      <c r="M243" s="58">
        <v>20</v>
      </c>
      <c r="N243" s="30" t="s">
        <v>310</v>
      </c>
      <c r="O243" s="100">
        <f>VLOOKUP(N243,References!$B$7:$F$252,5,FALSE)</f>
        <v>1</v>
      </c>
      <c r="S243"/>
    </row>
    <row r="244" spans="1:19" x14ac:dyDescent="0.2">
      <c r="A244" s="868"/>
      <c r="B244" s="869"/>
      <c r="C244" s="832"/>
      <c r="D244" s="832"/>
      <c r="E244" s="149" t="s">
        <v>306</v>
      </c>
      <c r="F244" s="145" t="s">
        <v>308</v>
      </c>
      <c r="G244" s="58">
        <v>0.16</v>
      </c>
      <c r="H244" s="58" t="s">
        <v>562</v>
      </c>
      <c r="I244" s="58" t="s">
        <v>27</v>
      </c>
      <c r="J244" s="433">
        <f t="shared" ref="J244:J249" si="96">IF(H244="Pa",G244,IF(H244="log-Pa",10^G244,IF(H244="mm Hg",G244*133.322,0)))</f>
        <v>0.16</v>
      </c>
      <c r="K244" s="178">
        <f t="shared" ref="K244:K249" si="97">IF(H244="Pa",LOG(G244),IF(H244="log-Pa",G244,IF(H244="mm Hg",LOG(G244*133.322),0)))</f>
        <v>-0.79588001734407521</v>
      </c>
      <c r="L244" s="433">
        <f t="shared" ref="L244:L249" si="98">IF(H244="Pa",G244/133.322,IF(H244="log-Pa",(10^G244)/133.322,IF(H244="mm Hg",G244,0)))</f>
        <v>1.2001020086707371E-3</v>
      </c>
      <c r="M244" s="58">
        <v>20</v>
      </c>
      <c r="N244" s="30" t="s">
        <v>310</v>
      </c>
      <c r="O244" s="100">
        <f>VLOOKUP(N244,References!$B$7:$F$252,5,FALSE)</f>
        <v>1</v>
      </c>
      <c r="S244"/>
    </row>
    <row r="245" spans="1:19" x14ac:dyDescent="0.2">
      <c r="A245" s="868"/>
      <c r="B245" s="869"/>
      <c r="C245" s="832"/>
      <c r="D245" s="832"/>
      <c r="E245" s="149" t="s">
        <v>306</v>
      </c>
      <c r="F245" s="145" t="s">
        <v>308</v>
      </c>
      <c r="G245" s="178">
        <v>7</v>
      </c>
      <c r="H245" s="58" t="s">
        <v>562</v>
      </c>
      <c r="I245" s="58" t="s">
        <v>27</v>
      </c>
      <c r="J245" s="433">
        <f t="shared" si="96"/>
        <v>7</v>
      </c>
      <c r="K245" s="178">
        <f t="shared" si="97"/>
        <v>0.84509804001425681</v>
      </c>
      <c r="L245" s="433">
        <f t="shared" si="98"/>
        <v>5.2504462879344745E-2</v>
      </c>
      <c r="M245" s="58">
        <v>25</v>
      </c>
      <c r="N245" s="30" t="s">
        <v>576</v>
      </c>
      <c r="O245" s="100">
        <f>VLOOKUP(N245,References!$B$7:$F$252,5,FALSE)</f>
        <v>73</v>
      </c>
      <c r="S245"/>
    </row>
    <row r="246" spans="1:19" x14ac:dyDescent="0.2">
      <c r="A246" s="868"/>
      <c r="B246" s="869"/>
      <c r="C246" s="832"/>
      <c r="D246" s="832"/>
      <c r="E246" s="149" t="s">
        <v>306</v>
      </c>
      <c r="F246" s="145" t="s">
        <v>308</v>
      </c>
      <c r="G246" s="58">
        <v>-1.04</v>
      </c>
      <c r="H246" s="58" t="s">
        <v>568</v>
      </c>
      <c r="I246" s="58" t="s">
        <v>522</v>
      </c>
      <c r="J246" s="433">
        <f t="shared" si="96"/>
        <v>9.120108393559094E-2</v>
      </c>
      <c r="K246" s="178">
        <f t="shared" si="97"/>
        <v>-1.04</v>
      </c>
      <c r="L246" s="433">
        <f t="shared" si="98"/>
        <v>6.8406627515031984E-4</v>
      </c>
      <c r="M246" s="58">
        <v>25</v>
      </c>
      <c r="N246" s="30" t="s">
        <v>570</v>
      </c>
      <c r="O246" s="100">
        <f>VLOOKUP(N246,References!$B$7:$F$252,5,FALSE)</f>
        <v>9</v>
      </c>
      <c r="S246"/>
    </row>
    <row r="247" spans="1:19" x14ac:dyDescent="0.2">
      <c r="A247" s="868"/>
      <c r="B247" s="869"/>
      <c r="C247" s="832"/>
      <c r="D247" s="832"/>
      <c r="E247" s="149" t="s">
        <v>306</v>
      </c>
      <c r="F247" s="145" t="s">
        <v>308</v>
      </c>
      <c r="G247" s="58">
        <v>1.01</v>
      </c>
      <c r="H247" s="58" t="s">
        <v>568</v>
      </c>
      <c r="I247" s="58" t="s">
        <v>571</v>
      </c>
      <c r="J247" s="433">
        <f t="shared" si="96"/>
        <v>10.232929922807543</v>
      </c>
      <c r="K247" s="178">
        <f t="shared" si="97"/>
        <v>1.01</v>
      </c>
      <c r="L247" s="433">
        <f t="shared" si="98"/>
        <v>7.6753498468426384E-2</v>
      </c>
      <c r="M247" s="58">
        <v>25</v>
      </c>
      <c r="N247" s="30" t="s">
        <v>570</v>
      </c>
      <c r="O247" s="100">
        <f>VLOOKUP(N247,References!$B$7:$F$252,5,FALSE)</f>
        <v>9</v>
      </c>
      <c r="S247"/>
    </row>
    <row r="248" spans="1:19" x14ac:dyDescent="0.2">
      <c r="A248" s="868"/>
      <c r="B248" s="869"/>
      <c r="C248" s="832"/>
      <c r="D248" s="832"/>
      <c r="E248" s="149" t="s">
        <v>306</v>
      </c>
      <c r="F248" s="145" t="s">
        <v>308</v>
      </c>
      <c r="G248" s="58">
        <v>1.77</v>
      </c>
      <c r="H248" s="58" t="s">
        <v>568</v>
      </c>
      <c r="I248" s="58" t="s">
        <v>513</v>
      </c>
      <c r="J248" s="433">
        <f t="shared" si="96"/>
        <v>58.884365535558949</v>
      </c>
      <c r="K248" s="178">
        <f t="shared" si="97"/>
        <v>1.77</v>
      </c>
      <c r="L248" s="433">
        <f t="shared" si="98"/>
        <v>0.44167028349078885</v>
      </c>
      <c r="M248" s="58">
        <v>25</v>
      </c>
      <c r="N248" s="30" t="s">
        <v>570</v>
      </c>
      <c r="O248" s="100">
        <f>VLOOKUP(N248,References!$B$7:$F$252,5,FALSE)</f>
        <v>9</v>
      </c>
      <c r="S248"/>
    </row>
    <row r="249" spans="1:19" x14ac:dyDescent="0.2">
      <c r="A249" s="868"/>
      <c r="B249" s="869"/>
      <c r="C249" s="832"/>
      <c r="D249" s="832"/>
      <c r="E249" s="149" t="s">
        <v>306</v>
      </c>
      <c r="F249" s="145" t="s">
        <v>308</v>
      </c>
      <c r="G249" s="58">
        <v>-0.93</v>
      </c>
      <c r="H249" s="58" t="s">
        <v>568</v>
      </c>
      <c r="I249" s="58" t="s">
        <v>522</v>
      </c>
      <c r="J249" s="433">
        <f t="shared" si="96"/>
        <v>0.11748975549395291</v>
      </c>
      <c r="K249" s="178">
        <f t="shared" si="97"/>
        <v>-0.93</v>
      </c>
      <c r="L249" s="433">
        <f t="shared" si="98"/>
        <v>8.8124807229079147E-4</v>
      </c>
      <c r="M249" s="58" t="s">
        <v>33</v>
      </c>
      <c r="N249" s="30" t="s">
        <v>523</v>
      </c>
      <c r="O249" s="100">
        <f>VLOOKUP(N249,References!$B$7:$F$252,5,FALSE)</f>
        <v>127</v>
      </c>
      <c r="S249"/>
    </row>
    <row r="250" spans="1:19" x14ac:dyDescent="0.2">
      <c r="A250" s="868"/>
      <c r="B250" s="869"/>
      <c r="C250" s="832"/>
      <c r="D250" s="832"/>
      <c r="E250" s="149" t="s">
        <v>306</v>
      </c>
      <c r="F250" s="145" t="s">
        <v>308</v>
      </c>
      <c r="G250" s="58">
        <v>0.87</v>
      </c>
      <c r="H250" s="58" t="s">
        <v>568</v>
      </c>
      <c r="I250" s="58" t="s">
        <v>524</v>
      </c>
      <c r="J250" s="433">
        <f t="shared" si="54"/>
        <v>7.4131024130091765</v>
      </c>
      <c r="K250" s="178">
        <f t="shared" si="55"/>
        <v>0.87</v>
      </c>
      <c r="L250" s="433">
        <f t="shared" si="56"/>
        <v>5.560299435208875E-2</v>
      </c>
      <c r="M250" s="58">
        <v>25</v>
      </c>
      <c r="N250" s="30" t="s">
        <v>525</v>
      </c>
      <c r="O250" s="100">
        <f>VLOOKUP(N250,References!$B$7:$F$252,5,FALSE)</f>
        <v>61</v>
      </c>
      <c r="S250"/>
    </row>
    <row r="251" spans="1:19" x14ac:dyDescent="0.2">
      <c r="A251" s="868"/>
      <c r="B251" s="869"/>
      <c r="C251" s="832"/>
      <c r="D251" s="832"/>
      <c r="E251" s="149" t="s">
        <v>306</v>
      </c>
      <c r="F251" s="145" t="s">
        <v>308</v>
      </c>
      <c r="G251" s="354">
        <v>1.7899999999999999E-3</v>
      </c>
      <c r="H251" s="58" t="s">
        <v>564</v>
      </c>
      <c r="I251" s="58" t="s">
        <v>27</v>
      </c>
      <c r="J251" s="433">
        <f t="shared" si="54"/>
        <v>0.23864637999999999</v>
      </c>
      <c r="K251" s="178">
        <f t="shared" si="55"/>
        <v>-0.62224514901174643</v>
      </c>
      <c r="L251" s="433">
        <f t="shared" si="56"/>
        <v>1.7899999999999999E-3</v>
      </c>
      <c r="M251" s="58">
        <v>25</v>
      </c>
      <c r="N251" s="30" t="s">
        <v>47</v>
      </c>
      <c r="O251" s="100">
        <f>VLOOKUP(N251,References!$B$7:$F$252,5,FALSE)</f>
        <v>3</v>
      </c>
      <c r="S251"/>
    </row>
    <row r="252" spans="1:19" x14ac:dyDescent="0.2">
      <c r="A252" s="868"/>
      <c r="B252" s="869"/>
      <c r="C252" s="832"/>
      <c r="D252" s="832"/>
      <c r="E252" s="149" t="s">
        <v>306</v>
      </c>
      <c r="F252" s="145" t="s">
        <v>308</v>
      </c>
      <c r="G252" s="354">
        <v>4.2800000000000002E-7</v>
      </c>
      <c r="H252" s="58" t="s">
        <v>564</v>
      </c>
      <c r="I252" s="58" t="s">
        <v>27</v>
      </c>
      <c r="J252" s="433">
        <f t="shared" ref="J252" si="99">IF(H252="Pa",G252,IF(H252="log-Pa",10^G252,IF(H252="mm Hg",G252*133.322,0)))</f>
        <v>5.7061816000000007E-5</v>
      </c>
      <c r="K252" s="178">
        <f t="shared" ref="K252" si="100">IF(H252="Pa",LOG(G252),IF(H252="log-Pa",G252,IF(H252="mm Hg",LOG(G252*133.322),0)))</f>
        <v>-4.2436544109784675</v>
      </c>
      <c r="L252" s="433">
        <f t="shared" ref="L252" si="101">IF(H252="Pa",G252/133.322,IF(H252="log-Pa",(10^G252)/133.322,IF(H252="mm Hg",G252,0)))</f>
        <v>4.2800000000000002E-7</v>
      </c>
      <c r="M252" s="58" t="s">
        <v>33</v>
      </c>
      <c r="N252" s="30" t="s">
        <v>47</v>
      </c>
      <c r="O252" s="100">
        <f>VLOOKUP(N252,References!$B$7:$F$252,5,FALSE)</f>
        <v>3</v>
      </c>
      <c r="S252"/>
    </row>
    <row r="253" spans="1:19" x14ac:dyDescent="0.2">
      <c r="A253" s="868"/>
      <c r="B253" s="869"/>
      <c r="C253" s="832"/>
      <c r="D253" s="832"/>
      <c r="E253" s="149" t="s">
        <v>306</v>
      </c>
      <c r="F253" s="145" t="s">
        <v>308</v>
      </c>
      <c r="G253" s="350">
        <v>0.54100000000000004</v>
      </c>
      <c r="H253" s="58" t="s">
        <v>564</v>
      </c>
      <c r="I253" s="58" t="s">
        <v>512</v>
      </c>
      <c r="J253" s="433">
        <f t="shared" si="54"/>
        <v>72.127202000000011</v>
      </c>
      <c r="K253" s="178">
        <f t="shared" si="55"/>
        <v>1.8580990851149299</v>
      </c>
      <c r="L253" s="433">
        <f t="shared" si="56"/>
        <v>0.54100000000000004</v>
      </c>
      <c r="M253" s="58" t="s">
        <v>33</v>
      </c>
      <c r="N253" s="30" t="s">
        <v>511</v>
      </c>
      <c r="O253" s="100">
        <f>VLOOKUP(N253,References!$B$7:$F$252,5,FALSE)</f>
        <v>36</v>
      </c>
      <c r="S253"/>
    </row>
    <row r="254" spans="1:19" x14ac:dyDescent="0.2">
      <c r="A254" s="868"/>
      <c r="B254" s="869"/>
      <c r="C254" s="832"/>
      <c r="D254" s="832"/>
      <c r="E254" s="149" t="s">
        <v>306</v>
      </c>
      <c r="F254" s="145" t="s">
        <v>308</v>
      </c>
      <c r="G254" s="350">
        <v>2.69E-2</v>
      </c>
      <c r="H254" s="58" t="s">
        <v>564</v>
      </c>
      <c r="I254" s="58" t="s">
        <v>514</v>
      </c>
      <c r="J254" s="433">
        <f t="shared" ref="J254:J288" si="102">IF(H254="Pa",G254,IF(H254="log-Pa",10^G254,IF(H254="mm Hg",G254*133.322,0)))</f>
        <v>3.5863618000000002</v>
      </c>
      <c r="K254" s="178">
        <f t="shared" ref="K254:K288" si="103">IF(H254="Pa",LOG(G254),IF(H254="log-Pa",G254,IF(H254="mm Hg",LOG(G254*133.322),0)))</f>
        <v>0.55465410001076842</v>
      </c>
      <c r="L254" s="433">
        <f t="shared" ref="L254:L288" si="104">IF(H254="Pa",G254/133.322,IF(H254="log-Pa",(10^G254)/133.322,IF(H254="mm Hg",G254,0)))</f>
        <v>2.69E-2</v>
      </c>
      <c r="M254" s="58" t="s">
        <v>33</v>
      </c>
      <c r="N254" s="30" t="s">
        <v>511</v>
      </c>
      <c r="O254" s="100">
        <f>VLOOKUP(N254,References!$B$7:$F$252,5,FALSE)</f>
        <v>36</v>
      </c>
      <c r="S254"/>
    </row>
    <row r="255" spans="1:19" x14ac:dyDescent="0.2">
      <c r="A255" s="868"/>
      <c r="B255" s="869"/>
      <c r="C255" s="832"/>
      <c r="D255" s="832"/>
      <c r="E255" s="182" t="s">
        <v>306</v>
      </c>
      <c r="F255" s="239" t="s">
        <v>308</v>
      </c>
      <c r="G255" s="327">
        <v>5.0200000000000002E-6</v>
      </c>
      <c r="H255" s="59" t="s">
        <v>564</v>
      </c>
      <c r="I255" s="59" t="s">
        <v>515</v>
      </c>
      <c r="J255" s="469">
        <f t="shared" si="102"/>
        <v>6.6927644000000009E-4</v>
      </c>
      <c r="K255" s="294">
        <f t="shared" si="103"/>
        <v>-3.1743944628466201</v>
      </c>
      <c r="L255" s="469">
        <f t="shared" si="104"/>
        <v>5.0200000000000002E-6</v>
      </c>
      <c r="M255" s="239">
        <v>25</v>
      </c>
      <c r="N255" s="37" t="s">
        <v>511</v>
      </c>
      <c r="O255" s="122">
        <f>VLOOKUP(N255,References!$B$7:$F$252,5,FALSE)</f>
        <v>36</v>
      </c>
      <c r="S255"/>
    </row>
    <row r="256" spans="1:19" ht="32" x14ac:dyDescent="0.2">
      <c r="A256" s="488" t="s">
        <v>315</v>
      </c>
      <c r="B256" s="152" t="s">
        <v>316</v>
      </c>
      <c r="C256" s="153">
        <v>651.23</v>
      </c>
      <c r="D256" s="153" t="s">
        <v>317</v>
      </c>
      <c r="E256" s="152" t="s">
        <v>316</v>
      </c>
      <c r="F256" s="153" t="s">
        <v>317</v>
      </c>
      <c r="G256" s="344">
        <v>2.7500000000000001E-8</v>
      </c>
      <c r="H256" s="239" t="s">
        <v>564</v>
      </c>
      <c r="I256" s="239" t="s">
        <v>515</v>
      </c>
      <c r="J256" s="469">
        <f t="shared" ref="J256:J257" si="105">IF(H256="Pa",G256,IF(H256="log-Pa",10^G256,IF(H256="mm Hg",G256*133.322,0)))</f>
        <v>3.6663550000000004E-6</v>
      </c>
      <c r="K256" s="294">
        <f t="shared" ref="K256:K257" si="106">IF(H256="Pa",LOG(G256),IF(H256="log-Pa",G256,IF(H256="mm Hg",LOG(G256*133.322),0)))</f>
        <v>-5.4357654861613769</v>
      </c>
      <c r="L256" s="469">
        <f t="shared" ref="L256:L257" si="107">IF(H256="Pa",G256/133.322,IF(H256="log-Pa",(10^G256)/133.322,IF(H256="mm Hg",G256,0)))</f>
        <v>2.7500000000000001E-8</v>
      </c>
      <c r="M256" s="239">
        <v>25</v>
      </c>
      <c r="N256" s="374" t="s">
        <v>511</v>
      </c>
      <c r="O256" s="122">
        <f>VLOOKUP(N256,References!$B$7:$F$252,5,FALSE)</f>
        <v>36</v>
      </c>
      <c r="S256"/>
    </row>
    <row r="257" spans="1:19" ht="33" thickBot="1" x14ac:dyDescent="0.25">
      <c r="A257" s="489" t="s">
        <v>321</v>
      </c>
      <c r="B257" s="188" t="s">
        <v>322</v>
      </c>
      <c r="C257" s="146">
        <v>1204.46</v>
      </c>
      <c r="D257" s="146" t="s">
        <v>323</v>
      </c>
      <c r="E257" s="188" t="s">
        <v>322</v>
      </c>
      <c r="F257" s="146" t="s">
        <v>323</v>
      </c>
      <c r="G257" s="376">
        <v>5.1300000000000003E-8</v>
      </c>
      <c r="H257" s="145" t="s">
        <v>564</v>
      </c>
      <c r="I257" s="145" t="s">
        <v>515</v>
      </c>
      <c r="J257" s="433">
        <f t="shared" si="105"/>
        <v>6.8394186000000007E-6</v>
      </c>
      <c r="K257" s="133">
        <f t="shared" si="106"/>
        <v>-5.1649808148798231</v>
      </c>
      <c r="L257" s="433">
        <f t="shared" si="107"/>
        <v>5.1300000000000003E-8</v>
      </c>
      <c r="M257" s="145">
        <v>25</v>
      </c>
      <c r="N257" s="272" t="s">
        <v>511</v>
      </c>
      <c r="O257" s="393">
        <f>VLOOKUP(N257,References!$B$7:$F$252,5,FALSE)</f>
        <v>36</v>
      </c>
      <c r="S257"/>
    </row>
    <row r="258" spans="1:19" ht="17" thickBot="1" x14ac:dyDescent="0.25">
      <c r="A258" s="83" t="s">
        <v>326</v>
      </c>
      <c r="B258" s="176" t="s">
        <v>327</v>
      </c>
      <c r="C258" s="84"/>
      <c r="D258" s="84"/>
      <c r="E258" s="84"/>
      <c r="F258" s="84"/>
      <c r="G258" s="330"/>
      <c r="H258" s="84"/>
      <c r="I258" s="84"/>
      <c r="J258" s="594"/>
      <c r="K258" s="248"/>
      <c r="L258" s="594"/>
      <c r="M258" s="84"/>
      <c r="N258" s="84"/>
      <c r="O258" s="97"/>
      <c r="S258"/>
    </row>
    <row r="259" spans="1:19" x14ac:dyDescent="0.2">
      <c r="A259" s="829" t="s">
        <v>328</v>
      </c>
      <c r="B259" s="831" t="s">
        <v>329</v>
      </c>
      <c r="C259" s="831">
        <v>343.2</v>
      </c>
      <c r="D259" s="831" t="s">
        <v>330</v>
      </c>
      <c r="E259" s="135" t="s">
        <v>329</v>
      </c>
      <c r="F259" s="156" t="s">
        <v>330</v>
      </c>
      <c r="G259" s="734">
        <v>4.6800000000000001E-6</v>
      </c>
      <c r="H259" s="177" t="s">
        <v>564</v>
      </c>
      <c r="I259" s="603" t="s">
        <v>515</v>
      </c>
      <c r="J259" s="433">
        <f>IF(H259="Pa",G259,IF(H259="log-Pa",10^G259,IF(H259="mm Hg",G259*133.322,0)))</f>
        <v>6.2394696000000007E-4</v>
      </c>
      <c r="K259" s="323">
        <f>IF(H259="Pa",LOG(G259),IF(H259="log-Pa",G259,IF(H259="mm Hg",LOG(G259*133.322),0)))</f>
        <v>-3.2048523269175155</v>
      </c>
      <c r="L259" s="433">
        <f>IF(H259="Pa",G259/133.322,IF(H259="log-Pa",(10^G259)/133.322,IF(H259="mm Hg",G259,0)))</f>
        <v>4.6800000000000001E-6</v>
      </c>
      <c r="M259" s="135">
        <v>25</v>
      </c>
      <c r="N259" s="708" t="s">
        <v>511</v>
      </c>
      <c r="O259" s="99">
        <f>VLOOKUP(N259,References!$B$7:$F$252,5,FALSE)</f>
        <v>36</v>
      </c>
      <c r="S259"/>
    </row>
    <row r="260" spans="1:19" x14ac:dyDescent="0.2">
      <c r="A260" s="847"/>
      <c r="B260" s="834"/>
      <c r="C260" s="834"/>
      <c r="D260" s="834"/>
      <c r="E260" s="59" t="s">
        <v>329</v>
      </c>
      <c r="F260" s="239" t="s">
        <v>330</v>
      </c>
      <c r="G260" s="59">
        <v>-0.56999999999999995</v>
      </c>
      <c r="H260" s="195" t="s">
        <v>568</v>
      </c>
      <c r="I260" s="469" t="s">
        <v>522</v>
      </c>
      <c r="J260" s="469">
        <f t="shared" ref="J260" si="108">IF(H260="Pa",G260,IF(H260="log-Pa",10^G260,IF(H260="mm Hg",G260*133.322,0)))</f>
        <v>0.26915348039269155</v>
      </c>
      <c r="K260" s="183">
        <f t="shared" ref="K260" si="109">IF(H260="Pa",LOG(G260),IF(H260="log-Pa",G260,IF(H260="mm Hg",LOG(G260*133.322),0)))</f>
        <v>-0.56999999999999995</v>
      </c>
      <c r="L260" s="469">
        <f t="shared" ref="L260" si="110">IF(H260="Pa",G260/133.322,IF(H260="log-Pa",(10^G260)/133.322,IF(H260="mm Hg",G260,0)))</f>
        <v>2.018822702874931E-3</v>
      </c>
      <c r="M260" s="59" t="s">
        <v>33</v>
      </c>
      <c r="N260" s="598" t="s">
        <v>523</v>
      </c>
      <c r="O260" s="122">
        <f>VLOOKUP(N260,References!$B$7:$F$252,5,FALSE)</f>
        <v>127</v>
      </c>
      <c r="S260"/>
    </row>
    <row r="261" spans="1:19" x14ac:dyDescent="0.2">
      <c r="A261" s="830" t="s">
        <v>332</v>
      </c>
      <c r="B261" s="832" t="s">
        <v>333</v>
      </c>
      <c r="C261" s="832">
        <v>543.20000000000005</v>
      </c>
      <c r="D261" s="832" t="s">
        <v>335</v>
      </c>
      <c r="E261" s="145" t="s">
        <v>333</v>
      </c>
      <c r="F261" s="145" t="s">
        <v>335</v>
      </c>
      <c r="G261" s="58">
        <v>-2.35</v>
      </c>
      <c r="H261" s="58" t="s">
        <v>568</v>
      </c>
      <c r="I261" s="58" t="s">
        <v>522</v>
      </c>
      <c r="J261" s="433">
        <f t="shared" si="102"/>
        <v>4.4668359215096279E-3</v>
      </c>
      <c r="K261" s="178">
        <f t="shared" si="103"/>
        <v>-2.35</v>
      </c>
      <c r="L261" s="433">
        <f t="shared" si="104"/>
        <v>3.350411726128942E-5</v>
      </c>
      <c r="M261" s="58" t="s">
        <v>33</v>
      </c>
      <c r="N261" s="30" t="s">
        <v>523</v>
      </c>
      <c r="O261" s="100">
        <f>VLOOKUP(N261,References!$B$7:$F$252,5,FALSE)</f>
        <v>127</v>
      </c>
      <c r="S261"/>
    </row>
    <row r="262" spans="1:19" x14ac:dyDescent="0.2">
      <c r="A262" s="830"/>
      <c r="B262" s="832"/>
      <c r="C262" s="832"/>
      <c r="D262" s="832"/>
      <c r="E262" s="145" t="s">
        <v>333</v>
      </c>
      <c r="F262" s="145" t="s">
        <v>335</v>
      </c>
      <c r="G262" s="354">
        <v>2.2800000000000001E-4</v>
      </c>
      <c r="H262" s="58" t="s">
        <v>564</v>
      </c>
      <c r="I262" s="58" t="s">
        <v>514</v>
      </c>
      <c r="J262" s="433">
        <f t="shared" si="102"/>
        <v>3.0397416000000003E-2</v>
      </c>
      <c r="K262" s="178">
        <f t="shared" si="103"/>
        <v>-1.5171633329911858</v>
      </c>
      <c r="L262" s="433">
        <f t="shared" si="104"/>
        <v>2.2800000000000001E-4</v>
      </c>
      <c r="M262" s="58" t="s">
        <v>33</v>
      </c>
      <c r="N262" s="30" t="s">
        <v>511</v>
      </c>
      <c r="O262" s="100">
        <f>VLOOKUP(N262,References!$B$7:$F$252,5,FALSE)</f>
        <v>36</v>
      </c>
      <c r="S262"/>
    </row>
    <row r="263" spans="1:19" x14ac:dyDescent="0.2">
      <c r="A263" s="830"/>
      <c r="B263" s="832"/>
      <c r="C263" s="832"/>
      <c r="D263" s="834"/>
      <c r="E263" s="239" t="s">
        <v>333</v>
      </c>
      <c r="F263" s="239" t="s">
        <v>335</v>
      </c>
      <c r="G263" s="327">
        <v>2.03E-4</v>
      </c>
      <c r="H263" s="59" t="s">
        <v>564</v>
      </c>
      <c r="I263" s="59" t="s">
        <v>515</v>
      </c>
      <c r="J263" s="469">
        <f t="shared" si="102"/>
        <v>2.7064365999999999E-2</v>
      </c>
      <c r="K263" s="183">
        <f t="shared" si="103"/>
        <v>-1.5676021420784267</v>
      </c>
      <c r="L263" s="469">
        <f t="shared" si="104"/>
        <v>2.03E-4</v>
      </c>
      <c r="M263" s="59">
        <v>25</v>
      </c>
      <c r="N263" s="37" t="s">
        <v>511</v>
      </c>
      <c r="O263" s="122">
        <f>VLOOKUP(N263,References!$B$7:$F$252,5,FALSE)</f>
        <v>36</v>
      </c>
      <c r="S263"/>
    </row>
    <row r="264" spans="1:19" x14ac:dyDescent="0.2">
      <c r="A264" s="867" t="s">
        <v>337</v>
      </c>
      <c r="B264" s="850" t="s">
        <v>338</v>
      </c>
      <c r="C264" s="833">
        <v>557.20000000000005</v>
      </c>
      <c r="D264" s="832" t="s">
        <v>340</v>
      </c>
      <c r="E264" s="149" t="s">
        <v>338</v>
      </c>
      <c r="F264" s="145" t="s">
        <v>340</v>
      </c>
      <c r="G264" s="350">
        <v>0.7</v>
      </c>
      <c r="H264" s="58" t="s">
        <v>562</v>
      </c>
      <c r="I264" s="58" t="s">
        <v>27</v>
      </c>
      <c r="J264" s="433">
        <f t="shared" ref="J264:J268" si="111">IF(H264="Pa",G264,IF(H264="log-Pa",10^G264,IF(H264="mm Hg",G264*133.322,0)))</f>
        <v>0.7</v>
      </c>
      <c r="K264" s="178">
        <f t="shared" ref="K264:K268" si="112">IF(H264="Pa",LOG(G264),IF(H264="log-Pa",G264,IF(H264="mm Hg",LOG(G264*133.322),0)))</f>
        <v>-0.15490195998574319</v>
      </c>
      <c r="L264" s="433">
        <f t="shared" ref="L264:L268" si="113">IF(H264="Pa",G264/133.322,IF(H264="log-Pa",(10^G264)/133.322,IF(H264="mm Hg",G264,0)))</f>
        <v>5.2504462879344738E-3</v>
      </c>
      <c r="M264" s="58">
        <v>25</v>
      </c>
      <c r="N264" s="30" t="s">
        <v>576</v>
      </c>
      <c r="O264" s="100">
        <f>VLOOKUP(N264,References!$B$7:$F$252,5,FALSE)</f>
        <v>73</v>
      </c>
      <c r="S264"/>
    </row>
    <row r="265" spans="1:19" x14ac:dyDescent="0.2">
      <c r="A265" s="868"/>
      <c r="B265" s="869"/>
      <c r="C265" s="832"/>
      <c r="D265" s="832"/>
      <c r="E265" s="149" t="s">
        <v>338</v>
      </c>
      <c r="F265" s="145" t="s">
        <v>340</v>
      </c>
      <c r="G265" s="58">
        <v>2E-3</v>
      </c>
      <c r="H265" s="58" t="s">
        <v>562</v>
      </c>
      <c r="I265" s="58" t="s">
        <v>27</v>
      </c>
      <c r="J265" s="433">
        <f t="shared" si="111"/>
        <v>2E-3</v>
      </c>
      <c r="K265" s="178">
        <f t="shared" si="112"/>
        <v>-2.6989700043360187</v>
      </c>
      <c r="L265" s="433">
        <f t="shared" si="113"/>
        <v>1.5001275108384213E-5</v>
      </c>
      <c r="M265" s="58">
        <v>23</v>
      </c>
      <c r="N265" s="30" t="s">
        <v>577</v>
      </c>
      <c r="O265" s="100">
        <f>VLOOKUP(N265,References!$B$7:$F$252,5,FALSE)</f>
        <v>114</v>
      </c>
      <c r="S265"/>
    </row>
    <row r="266" spans="1:19" x14ac:dyDescent="0.2">
      <c r="A266" s="868"/>
      <c r="B266" s="869"/>
      <c r="C266" s="832"/>
      <c r="D266" s="832"/>
      <c r="E266" s="149" t="s">
        <v>338</v>
      </c>
      <c r="F266" s="145" t="s">
        <v>340</v>
      </c>
      <c r="G266" s="58">
        <v>-0.04</v>
      </c>
      <c r="H266" s="58" t="s">
        <v>568</v>
      </c>
      <c r="I266" s="58" t="s">
        <v>522</v>
      </c>
      <c r="J266" s="433">
        <f t="shared" si="111"/>
        <v>0.91201083935590965</v>
      </c>
      <c r="K266" s="178">
        <f t="shared" si="112"/>
        <v>-0.04</v>
      </c>
      <c r="L266" s="433">
        <f t="shared" si="113"/>
        <v>6.8406627515031999E-3</v>
      </c>
      <c r="M266" s="58">
        <v>25</v>
      </c>
      <c r="N266" s="30" t="s">
        <v>570</v>
      </c>
      <c r="O266" s="100">
        <f>VLOOKUP(N266,References!$B$7:$F$252,5,FALSE)</f>
        <v>9</v>
      </c>
      <c r="S266"/>
    </row>
    <row r="267" spans="1:19" x14ac:dyDescent="0.2">
      <c r="A267" s="868"/>
      <c r="B267" s="869"/>
      <c r="C267" s="832"/>
      <c r="D267" s="832"/>
      <c r="E267" s="149" t="s">
        <v>338</v>
      </c>
      <c r="F267" s="145" t="s">
        <v>340</v>
      </c>
      <c r="G267" s="58">
        <v>-1.81</v>
      </c>
      <c r="H267" s="58" t="s">
        <v>568</v>
      </c>
      <c r="I267" s="58" t="s">
        <v>571</v>
      </c>
      <c r="J267" s="433">
        <f t="shared" si="111"/>
        <v>1.5488166189124804E-2</v>
      </c>
      <c r="K267" s="178">
        <f t="shared" si="112"/>
        <v>-1.81</v>
      </c>
      <c r="L267" s="433">
        <f t="shared" si="113"/>
        <v>1.1617112096371795E-4</v>
      </c>
      <c r="M267" s="58">
        <v>25</v>
      </c>
      <c r="N267" s="30" t="s">
        <v>570</v>
      </c>
      <c r="O267" s="100">
        <f>VLOOKUP(N267,References!$B$7:$F$252,5,FALSE)</f>
        <v>9</v>
      </c>
      <c r="S267"/>
    </row>
    <row r="268" spans="1:19" x14ac:dyDescent="0.2">
      <c r="A268" s="868"/>
      <c r="B268" s="869"/>
      <c r="C268" s="832"/>
      <c r="D268" s="832"/>
      <c r="E268" s="149" t="s">
        <v>338</v>
      </c>
      <c r="F268" s="145" t="s">
        <v>340</v>
      </c>
      <c r="G268" s="58">
        <v>-1.38</v>
      </c>
      <c r="H268" s="58" t="s">
        <v>568</v>
      </c>
      <c r="I268" s="58" t="s">
        <v>513</v>
      </c>
      <c r="J268" s="433">
        <f t="shared" si="111"/>
        <v>4.1686938347033534E-2</v>
      </c>
      <c r="K268" s="178">
        <f t="shared" si="112"/>
        <v>-1.38</v>
      </c>
      <c r="L268" s="433">
        <f t="shared" si="113"/>
        <v>3.1267861528505071E-4</v>
      </c>
      <c r="M268" s="58">
        <v>25</v>
      </c>
      <c r="N268" s="30" t="s">
        <v>570</v>
      </c>
      <c r="O268" s="100">
        <f>VLOOKUP(N268,References!$B$7:$F$252,5,FALSE)</f>
        <v>9</v>
      </c>
      <c r="S268"/>
    </row>
    <row r="269" spans="1:19" x14ac:dyDescent="0.2">
      <c r="A269" s="868"/>
      <c r="B269" s="869"/>
      <c r="C269" s="832"/>
      <c r="D269" s="832"/>
      <c r="E269" s="149" t="s">
        <v>338</v>
      </c>
      <c r="F269" s="145" t="s">
        <v>340</v>
      </c>
      <c r="G269" s="58">
        <v>-1.77</v>
      </c>
      <c r="H269" s="58" t="s">
        <v>568</v>
      </c>
      <c r="I269" s="58" t="s">
        <v>519</v>
      </c>
      <c r="J269" s="433">
        <f t="shared" si="102"/>
        <v>1.6982436524617429E-2</v>
      </c>
      <c r="K269" s="178">
        <f t="shared" si="103"/>
        <v>-1.77</v>
      </c>
      <c r="L269" s="433">
        <f t="shared" si="104"/>
        <v>1.2737910115822917E-4</v>
      </c>
      <c r="M269" s="58">
        <v>25</v>
      </c>
      <c r="N269" s="30" t="s">
        <v>520</v>
      </c>
      <c r="O269" s="100">
        <f>VLOOKUP(N269,References!$B$7:$F$252,5,FALSE)</f>
        <v>14</v>
      </c>
      <c r="S269"/>
    </row>
    <row r="270" spans="1:19" x14ac:dyDescent="0.2">
      <c r="A270" s="868"/>
      <c r="B270" s="869"/>
      <c r="C270" s="832"/>
      <c r="D270" s="832"/>
      <c r="E270" s="149" t="s">
        <v>338</v>
      </c>
      <c r="F270" s="145" t="s">
        <v>340</v>
      </c>
      <c r="G270" s="58">
        <v>-2.1800000000000002</v>
      </c>
      <c r="H270" s="58" t="s">
        <v>568</v>
      </c>
      <c r="I270" s="58" t="s">
        <v>522</v>
      </c>
      <c r="J270" s="433">
        <f t="shared" si="102"/>
        <v>6.6069344800759565E-3</v>
      </c>
      <c r="K270" s="178">
        <f t="shared" si="103"/>
        <v>-2.1800000000000002</v>
      </c>
      <c r="L270" s="433">
        <f t="shared" si="104"/>
        <v>4.9556220879344415E-5</v>
      </c>
      <c r="M270" s="58" t="s">
        <v>33</v>
      </c>
      <c r="N270" s="30" t="s">
        <v>523</v>
      </c>
      <c r="O270" s="100">
        <f>VLOOKUP(N270,References!$B$7:$F$252,5,FALSE)</f>
        <v>127</v>
      </c>
      <c r="S270"/>
    </row>
    <row r="271" spans="1:19" x14ac:dyDescent="0.2">
      <c r="A271" s="868"/>
      <c r="B271" s="869"/>
      <c r="C271" s="832"/>
      <c r="D271" s="832"/>
      <c r="E271" s="149" t="s">
        <v>338</v>
      </c>
      <c r="F271" s="145" t="s">
        <v>340</v>
      </c>
      <c r="G271" s="58">
        <v>0.77</v>
      </c>
      <c r="H271" s="58" t="s">
        <v>568</v>
      </c>
      <c r="I271" s="58" t="s">
        <v>524</v>
      </c>
      <c r="J271" s="433">
        <f>IF(H271="Pa",G271,IF(H271="log-Pa",10^G271,IF(H271="mm Hg",G271*133.322,0)))</f>
        <v>5.8884365535558905</v>
      </c>
      <c r="K271" s="178">
        <f>IF(H271="Pa",LOG(G271),IF(H271="log-Pa",G271,IF(H271="mm Hg",LOG(G271*133.322),0)))</f>
        <v>0.77</v>
      </c>
      <c r="L271" s="433">
        <f>IF(H271="Pa",G271/133.322,IF(H271="log-Pa",(10^G271)/133.322,IF(H271="mm Hg",G271,0)))</f>
        <v>4.4167028349078846E-2</v>
      </c>
      <c r="M271" s="58">
        <v>25</v>
      </c>
      <c r="N271" s="30" t="s">
        <v>525</v>
      </c>
      <c r="O271" s="100">
        <f>VLOOKUP(N271,References!$B$7:$F$252,5,FALSE)</f>
        <v>61</v>
      </c>
      <c r="S271"/>
    </row>
    <row r="272" spans="1:19" x14ac:dyDescent="0.2">
      <c r="A272" s="868"/>
      <c r="B272" s="869"/>
      <c r="C272" s="832"/>
      <c r="D272" s="832"/>
      <c r="E272" s="149" t="s">
        <v>338</v>
      </c>
      <c r="F272" s="145" t="s">
        <v>340</v>
      </c>
      <c r="G272" s="58">
        <v>0.11700000000000001</v>
      </c>
      <c r="H272" s="58" t="s">
        <v>564</v>
      </c>
      <c r="I272" s="58" t="s">
        <v>512</v>
      </c>
      <c r="J272" s="433">
        <f t="shared" ref="J272" si="114">IF(H272="Pa",G272,IF(H272="log-Pa",10^G272,IF(H272="mm Hg",G272*133.322,0)))</f>
        <v>15.598674000000001</v>
      </c>
      <c r="K272" s="178">
        <f t="shared" ref="K272" si="115">IF(H272="Pa",LOG(G272),IF(H272="log-Pa",G272,IF(H272="mm Hg",LOG(G272*133.322),0)))</f>
        <v>1.1930876817545222</v>
      </c>
      <c r="L272" s="433">
        <f t="shared" ref="L272" si="116">IF(H272="Pa",G272/133.322,IF(H272="log-Pa",(10^G272)/133.322,IF(H272="mm Hg",G272,0)))</f>
        <v>0.11700000000000001</v>
      </c>
      <c r="M272" s="58" t="s">
        <v>33</v>
      </c>
      <c r="N272" s="30" t="s">
        <v>511</v>
      </c>
      <c r="O272" s="100">
        <f>VLOOKUP(N272,References!$B$7:$F$252,5,FALSE)</f>
        <v>36</v>
      </c>
      <c r="S272"/>
    </row>
    <row r="273" spans="1:19" x14ac:dyDescent="0.2">
      <c r="A273" s="868"/>
      <c r="B273" s="869"/>
      <c r="C273" s="832"/>
      <c r="D273" s="832"/>
      <c r="E273" s="149" t="s">
        <v>338</v>
      </c>
      <c r="F273" s="145" t="s">
        <v>340</v>
      </c>
      <c r="G273" s="354">
        <v>1.16E-4</v>
      </c>
      <c r="H273" s="58" t="s">
        <v>564</v>
      </c>
      <c r="I273" s="58" t="s">
        <v>514</v>
      </c>
      <c r="J273" s="433">
        <f t="shared" si="102"/>
        <v>1.5465352E-2</v>
      </c>
      <c r="K273" s="178">
        <f t="shared" si="103"/>
        <v>-1.8106401907647212</v>
      </c>
      <c r="L273" s="433">
        <f t="shared" si="104"/>
        <v>1.16E-4</v>
      </c>
      <c r="M273" s="58" t="s">
        <v>33</v>
      </c>
      <c r="N273" s="30" t="s">
        <v>511</v>
      </c>
      <c r="O273" s="100">
        <f>VLOOKUP(N273,References!$B$7:$F$252,5,FALSE)</f>
        <v>36</v>
      </c>
      <c r="S273"/>
    </row>
    <row r="274" spans="1:19" x14ac:dyDescent="0.2">
      <c r="A274" s="879"/>
      <c r="B274" s="851"/>
      <c r="C274" s="834"/>
      <c r="D274" s="834"/>
      <c r="E274" s="182" t="s">
        <v>338</v>
      </c>
      <c r="F274" s="239" t="s">
        <v>340</v>
      </c>
      <c r="G274" s="327">
        <v>1.01E-5</v>
      </c>
      <c r="H274" s="59" t="s">
        <v>564</v>
      </c>
      <c r="I274" s="59" t="s">
        <v>515</v>
      </c>
      <c r="J274" s="469">
        <f t="shared" si="102"/>
        <v>1.3465522000000001E-3</v>
      </c>
      <c r="K274" s="183">
        <f t="shared" si="103"/>
        <v>-2.8707768062089971</v>
      </c>
      <c r="L274" s="469">
        <f t="shared" si="104"/>
        <v>1.01E-5</v>
      </c>
      <c r="M274" s="59" t="s">
        <v>33</v>
      </c>
      <c r="N274" s="37" t="s">
        <v>511</v>
      </c>
      <c r="O274" s="122">
        <f>VLOOKUP(N274,References!$B$7:$F$252,5,FALSE)</f>
        <v>36</v>
      </c>
      <c r="S274"/>
    </row>
    <row r="275" spans="1:19" ht="15.75" customHeight="1" x14ac:dyDescent="0.2">
      <c r="A275" s="868" t="s">
        <v>345</v>
      </c>
      <c r="B275" s="869" t="s">
        <v>346</v>
      </c>
      <c r="C275" s="832">
        <v>571.29999999999995</v>
      </c>
      <c r="D275" s="832" t="s">
        <v>348</v>
      </c>
      <c r="E275" s="149" t="s">
        <v>346</v>
      </c>
      <c r="F275" s="145" t="s">
        <v>348</v>
      </c>
      <c r="G275" s="58">
        <v>0.5</v>
      </c>
      <c r="H275" s="58" t="s">
        <v>562</v>
      </c>
      <c r="I275" s="58" t="s">
        <v>27</v>
      </c>
      <c r="J275" s="433">
        <f t="shared" si="102"/>
        <v>0.5</v>
      </c>
      <c r="K275" s="178">
        <f t="shared" si="103"/>
        <v>-0.3010299956639812</v>
      </c>
      <c r="L275" s="433">
        <f t="shared" si="104"/>
        <v>3.7503187770960532E-3</v>
      </c>
      <c r="M275" s="58">
        <v>20</v>
      </c>
      <c r="N275" s="30" t="s">
        <v>310</v>
      </c>
      <c r="O275" s="100">
        <f>VLOOKUP(N275,References!$B$7:$F$252,5,FALSE)</f>
        <v>1</v>
      </c>
      <c r="S275"/>
    </row>
    <row r="276" spans="1:19" x14ac:dyDescent="0.2">
      <c r="A276" s="868"/>
      <c r="B276" s="869"/>
      <c r="C276" s="832"/>
      <c r="D276" s="832"/>
      <c r="E276" s="149" t="s">
        <v>346</v>
      </c>
      <c r="F276" s="145" t="s">
        <v>348</v>
      </c>
      <c r="G276" s="58">
        <v>0.35</v>
      </c>
      <c r="H276" s="58" t="s">
        <v>562</v>
      </c>
      <c r="I276" s="58" t="s">
        <v>27</v>
      </c>
      <c r="J276" s="433">
        <f t="shared" ref="J276:J282" si="117">IF(H276="Pa",G276,IF(H276="log-Pa",10^G276,IF(H276="mm Hg",G276*133.322,0)))</f>
        <v>0.35</v>
      </c>
      <c r="K276" s="178">
        <f t="shared" ref="K276:K282" si="118">IF(H276="Pa",LOG(G276),IF(H276="log-Pa",G276,IF(H276="mm Hg",LOG(G276*133.322),0)))</f>
        <v>-0.45593195564972439</v>
      </c>
      <c r="L276" s="433">
        <f t="shared" ref="L276:L282" si="119">IF(H276="Pa",G276/133.322,IF(H276="log-Pa",(10^G276)/133.322,IF(H276="mm Hg",G276,0)))</f>
        <v>2.6252231439672369E-3</v>
      </c>
      <c r="M276" s="58">
        <v>25</v>
      </c>
      <c r="N276" s="30" t="s">
        <v>576</v>
      </c>
      <c r="O276" s="100">
        <f>VLOOKUP(N276,References!$B$7:$F$252,5,FALSE)</f>
        <v>73</v>
      </c>
      <c r="S276"/>
    </row>
    <row r="277" spans="1:19" x14ac:dyDescent="0.2">
      <c r="A277" s="868"/>
      <c r="B277" s="869"/>
      <c r="C277" s="832"/>
      <c r="D277" s="832"/>
      <c r="E277" s="149" t="s">
        <v>346</v>
      </c>
      <c r="F277" s="145" t="s">
        <v>348</v>
      </c>
      <c r="G277" s="58">
        <v>8.6E-3</v>
      </c>
      <c r="H277" s="58" t="s">
        <v>562</v>
      </c>
      <c r="I277" s="58" t="s">
        <v>27</v>
      </c>
      <c r="J277" s="433">
        <f t="shared" si="117"/>
        <v>8.6E-3</v>
      </c>
      <c r="K277" s="178">
        <f t="shared" si="118"/>
        <v>-2.0655015487564321</v>
      </c>
      <c r="L277" s="433">
        <f t="shared" si="119"/>
        <v>6.4505482966052113E-5</v>
      </c>
      <c r="M277" s="58">
        <v>23</v>
      </c>
      <c r="N277" s="30" t="s">
        <v>577</v>
      </c>
      <c r="O277" s="100">
        <f>VLOOKUP(N277,References!$B$7:$F$252,5,FALSE)</f>
        <v>114</v>
      </c>
      <c r="S277"/>
    </row>
    <row r="278" spans="1:19" x14ac:dyDescent="0.2">
      <c r="A278" s="868"/>
      <c r="B278" s="869"/>
      <c r="C278" s="832"/>
      <c r="D278" s="832"/>
      <c r="E278" s="149" t="s">
        <v>346</v>
      </c>
      <c r="F278" s="145" t="s">
        <v>348</v>
      </c>
      <c r="G278" s="58">
        <v>-2.0699999999999998</v>
      </c>
      <c r="H278" s="58" t="s">
        <v>568</v>
      </c>
      <c r="I278" s="58" t="s">
        <v>27</v>
      </c>
      <c r="J278" s="433">
        <f t="shared" si="117"/>
        <v>8.5113803820237675E-3</v>
      </c>
      <c r="K278" s="178">
        <f t="shared" si="118"/>
        <v>-2.0699999999999998</v>
      </c>
      <c r="L278" s="433">
        <f t="shared" si="119"/>
        <v>6.384077933142143E-5</v>
      </c>
      <c r="M278" s="58">
        <v>23</v>
      </c>
      <c r="N278" s="30" t="s">
        <v>570</v>
      </c>
      <c r="O278" s="100">
        <f>VLOOKUP(N278,References!$B$7:$F$252,5,FALSE)</f>
        <v>9</v>
      </c>
      <c r="S278"/>
    </row>
    <row r="279" spans="1:19" x14ac:dyDescent="0.2">
      <c r="A279" s="868"/>
      <c r="B279" s="869"/>
      <c r="C279" s="832"/>
      <c r="D279" s="832"/>
      <c r="E279" s="149" t="s">
        <v>346</v>
      </c>
      <c r="F279" s="145" t="s">
        <v>348</v>
      </c>
      <c r="G279" s="58">
        <v>0.34</v>
      </c>
      <c r="H279" s="58" t="s">
        <v>568</v>
      </c>
      <c r="I279" s="58" t="s">
        <v>522</v>
      </c>
      <c r="J279" s="433">
        <f t="shared" si="117"/>
        <v>2.1877616239495525</v>
      </c>
      <c r="K279" s="178">
        <f t="shared" si="118"/>
        <v>0.34</v>
      </c>
      <c r="L279" s="433">
        <f t="shared" si="119"/>
        <v>1.6409606996216321E-2</v>
      </c>
      <c r="M279" s="58">
        <v>25</v>
      </c>
      <c r="N279" s="30" t="s">
        <v>570</v>
      </c>
      <c r="O279" s="100">
        <f>VLOOKUP(N279,References!$B$7:$F$252,5,FALSE)</f>
        <v>9</v>
      </c>
      <c r="S279"/>
    </row>
    <row r="280" spans="1:19" x14ac:dyDescent="0.2">
      <c r="A280" s="868"/>
      <c r="B280" s="869"/>
      <c r="C280" s="832"/>
      <c r="D280" s="832"/>
      <c r="E280" s="149" t="s">
        <v>346</v>
      </c>
      <c r="F280" s="145" t="s">
        <v>348</v>
      </c>
      <c r="G280" s="58">
        <v>-1.07</v>
      </c>
      <c r="H280" s="58" t="s">
        <v>568</v>
      </c>
      <c r="I280" s="58" t="s">
        <v>571</v>
      </c>
      <c r="J280" s="433">
        <f t="shared" si="117"/>
        <v>8.5113803820237616E-2</v>
      </c>
      <c r="K280" s="178">
        <f t="shared" si="118"/>
        <v>-1.07</v>
      </c>
      <c r="L280" s="433">
        <f t="shared" si="119"/>
        <v>6.3840779331421382E-4</v>
      </c>
      <c r="M280" s="58">
        <v>25</v>
      </c>
      <c r="N280" s="30" t="s">
        <v>570</v>
      </c>
      <c r="O280" s="100">
        <f>VLOOKUP(N280,References!$B$7:$F$252,5,FALSE)</f>
        <v>9</v>
      </c>
      <c r="S280"/>
    </row>
    <row r="281" spans="1:19" x14ac:dyDescent="0.2">
      <c r="A281" s="868"/>
      <c r="B281" s="869"/>
      <c r="C281" s="832"/>
      <c r="D281" s="832"/>
      <c r="E281" s="149" t="s">
        <v>346</v>
      </c>
      <c r="F281" s="145" t="s">
        <v>348</v>
      </c>
      <c r="G281" s="58">
        <v>-0.34</v>
      </c>
      <c r="H281" s="58" t="s">
        <v>568</v>
      </c>
      <c r="I281" s="58" t="s">
        <v>513</v>
      </c>
      <c r="J281" s="433">
        <f t="shared" si="117"/>
        <v>0.45708818961487502</v>
      </c>
      <c r="K281" s="178">
        <f t="shared" si="118"/>
        <v>-0.34</v>
      </c>
      <c r="L281" s="433">
        <f t="shared" si="119"/>
        <v>3.4284528406030136E-3</v>
      </c>
      <c r="M281" s="58">
        <v>25</v>
      </c>
      <c r="N281" s="30" t="s">
        <v>570</v>
      </c>
      <c r="O281" s="100">
        <f>VLOOKUP(N281,References!$B$7:$F$252,5,FALSE)</f>
        <v>9</v>
      </c>
      <c r="S281"/>
    </row>
    <row r="282" spans="1:19" x14ac:dyDescent="0.2">
      <c r="A282" s="868"/>
      <c r="B282" s="869"/>
      <c r="C282" s="832"/>
      <c r="D282" s="832"/>
      <c r="E282" s="149" t="s">
        <v>346</v>
      </c>
      <c r="F282" s="145" t="s">
        <v>348</v>
      </c>
      <c r="G282" s="58">
        <v>-2.41</v>
      </c>
      <c r="H282" s="58" t="s">
        <v>568</v>
      </c>
      <c r="I282" s="58" t="s">
        <v>522</v>
      </c>
      <c r="J282" s="433">
        <f t="shared" si="117"/>
        <v>3.8904514499428023E-3</v>
      </c>
      <c r="K282" s="178">
        <f t="shared" si="118"/>
        <v>-2.41</v>
      </c>
      <c r="L282" s="433">
        <f t="shared" si="119"/>
        <v>2.9180866248202115E-5</v>
      </c>
      <c r="M282" s="58" t="s">
        <v>33</v>
      </c>
      <c r="N282" s="30" t="s">
        <v>523</v>
      </c>
      <c r="O282" s="100">
        <f>VLOOKUP(N282,References!$B$7:$F$252,5,FALSE)</f>
        <v>127</v>
      </c>
      <c r="S282"/>
    </row>
    <row r="283" spans="1:19" x14ac:dyDescent="0.2">
      <c r="A283" s="868"/>
      <c r="B283" s="869"/>
      <c r="C283" s="832"/>
      <c r="D283" s="832"/>
      <c r="E283" s="149" t="s">
        <v>346</v>
      </c>
      <c r="F283" s="145" t="s">
        <v>348</v>
      </c>
      <c r="G283" s="58">
        <v>-0.28999999999999998</v>
      </c>
      <c r="H283" s="58" t="s">
        <v>568</v>
      </c>
      <c r="I283" s="58" t="s">
        <v>27</v>
      </c>
      <c r="J283" s="433">
        <f t="shared" si="102"/>
        <v>0.51286138399136483</v>
      </c>
      <c r="K283" s="178">
        <f t="shared" si="103"/>
        <v>-0.28999999999999998</v>
      </c>
      <c r="L283" s="433">
        <f t="shared" si="104"/>
        <v>3.8467873568605693E-3</v>
      </c>
      <c r="M283" s="58">
        <v>25</v>
      </c>
      <c r="N283" s="30" t="s">
        <v>520</v>
      </c>
      <c r="O283" s="100">
        <f>VLOOKUP(N283,References!$B$7:$F$252,5,FALSE)</f>
        <v>14</v>
      </c>
      <c r="S283"/>
    </row>
    <row r="284" spans="1:19" x14ac:dyDescent="0.2">
      <c r="A284" s="868"/>
      <c r="B284" s="869"/>
      <c r="C284" s="832"/>
      <c r="D284" s="832"/>
      <c r="E284" s="149" t="s">
        <v>346</v>
      </c>
      <c r="F284" s="145" t="s">
        <v>348</v>
      </c>
      <c r="G284" s="58">
        <v>-2.0499999999999998</v>
      </c>
      <c r="H284" s="58" t="s">
        <v>568</v>
      </c>
      <c r="I284" s="58" t="s">
        <v>519</v>
      </c>
      <c r="J284" s="433">
        <f t="shared" si="102"/>
        <v>8.9125093813374554E-3</v>
      </c>
      <c r="K284" s="178">
        <f t="shared" si="103"/>
        <v>-2.0499999999999998</v>
      </c>
      <c r="L284" s="433">
        <f t="shared" si="104"/>
        <v>6.6849502567749172E-5</v>
      </c>
      <c r="M284" s="58">
        <v>25</v>
      </c>
      <c r="N284" s="30" t="s">
        <v>520</v>
      </c>
      <c r="O284" s="100">
        <f>VLOOKUP(N284,References!$B$7:$F$252,5,FALSE)</f>
        <v>14</v>
      </c>
      <c r="S284"/>
    </row>
    <row r="285" spans="1:19" x14ac:dyDescent="0.2">
      <c r="A285" s="868"/>
      <c r="B285" s="869"/>
      <c r="C285" s="832"/>
      <c r="D285" s="832"/>
      <c r="E285" s="149" t="s">
        <v>346</v>
      </c>
      <c r="F285" s="145" t="s">
        <v>348</v>
      </c>
      <c r="G285" s="58">
        <v>0.64</v>
      </c>
      <c r="H285" s="58" t="s">
        <v>568</v>
      </c>
      <c r="I285" s="58" t="s">
        <v>524</v>
      </c>
      <c r="J285" s="433">
        <f t="shared" si="102"/>
        <v>4.3651583224016601</v>
      </c>
      <c r="K285" s="178">
        <f t="shared" si="103"/>
        <v>0.64</v>
      </c>
      <c r="L285" s="433">
        <f t="shared" si="104"/>
        <v>3.2741470443000104E-2</v>
      </c>
      <c r="M285" s="58">
        <v>25</v>
      </c>
      <c r="N285" s="30" t="s">
        <v>525</v>
      </c>
      <c r="O285" s="100">
        <f>VLOOKUP(N285,References!$B$7:$F$252,5,FALSE)</f>
        <v>61</v>
      </c>
      <c r="S285"/>
    </row>
    <row r="286" spans="1:19" x14ac:dyDescent="0.2">
      <c r="A286" s="868"/>
      <c r="B286" s="869"/>
      <c r="C286" s="832"/>
      <c r="D286" s="832"/>
      <c r="E286" s="149" t="s">
        <v>346</v>
      </c>
      <c r="F286" s="145" t="s">
        <v>348</v>
      </c>
      <c r="G286" s="354">
        <v>7.9600000000000004E-2</v>
      </c>
      <c r="H286" s="58" t="s">
        <v>564</v>
      </c>
      <c r="I286" s="58" t="s">
        <v>512</v>
      </c>
      <c r="J286" s="433">
        <f t="shared" si="102"/>
        <v>10.612431200000001</v>
      </c>
      <c r="K286" s="178">
        <f t="shared" si="103"/>
        <v>1.0258148877460296</v>
      </c>
      <c r="L286" s="433">
        <f t="shared" si="104"/>
        <v>7.9600000000000004E-2</v>
      </c>
      <c r="M286" s="58" t="s">
        <v>33</v>
      </c>
      <c r="N286" s="30" t="s">
        <v>511</v>
      </c>
      <c r="O286" s="100">
        <f>VLOOKUP(N286,References!$B$7:$F$252,5,FALSE)</f>
        <v>36</v>
      </c>
      <c r="S286"/>
    </row>
    <row r="287" spans="1:19" x14ac:dyDescent="0.2">
      <c r="A287" s="868"/>
      <c r="B287" s="869"/>
      <c r="C287" s="832"/>
      <c r="D287" s="832"/>
      <c r="E287" s="149" t="s">
        <v>346</v>
      </c>
      <c r="F287" s="145" t="s">
        <v>348</v>
      </c>
      <c r="G287" s="354">
        <v>3.3899999999999997E-5</v>
      </c>
      <c r="H287" s="58" t="s">
        <v>564</v>
      </c>
      <c r="I287" s="58" t="s">
        <v>514</v>
      </c>
      <c r="J287" s="433">
        <f t="shared" si="102"/>
        <v>4.5196157999999997E-3</v>
      </c>
      <c r="K287" s="178">
        <f t="shared" si="103"/>
        <v>-2.3448984817885572</v>
      </c>
      <c r="L287" s="433">
        <f t="shared" si="104"/>
        <v>3.3899999999999997E-5</v>
      </c>
      <c r="M287" s="58" t="s">
        <v>33</v>
      </c>
      <c r="N287" s="30" t="s">
        <v>511</v>
      </c>
      <c r="O287" s="100">
        <f>VLOOKUP(N287,References!$B$7:$F$252,5,FALSE)</f>
        <v>36</v>
      </c>
      <c r="S287"/>
    </row>
    <row r="288" spans="1:19" ht="17" thickBot="1" x14ac:dyDescent="0.25">
      <c r="A288" s="880"/>
      <c r="B288" s="881"/>
      <c r="C288" s="845"/>
      <c r="D288" s="845"/>
      <c r="E288" s="188" t="s">
        <v>346</v>
      </c>
      <c r="F288" s="146" t="s">
        <v>348</v>
      </c>
      <c r="G288" s="324">
        <v>8.7799999999999998E-4</v>
      </c>
      <c r="H288" s="138" t="s">
        <v>564</v>
      </c>
      <c r="I288" s="138" t="s">
        <v>515</v>
      </c>
      <c r="J288" s="433">
        <f t="shared" si="102"/>
        <v>0.11705671600000001</v>
      </c>
      <c r="K288" s="284">
        <f t="shared" si="103"/>
        <v>-0.93160366408553696</v>
      </c>
      <c r="L288" s="433">
        <f t="shared" si="104"/>
        <v>8.7799999999999998E-4</v>
      </c>
      <c r="M288" s="138" t="s">
        <v>33</v>
      </c>
      <c r="N288" s="210" t="s">
        <v>511</v>
      </c>
      <c r="O288" s="101">
        <f>VLOOKUP(N288,References!$B$7:$F$252,5,FALSE)</f>
        <v>36</v>
      </c>
      <c r="S288"/>
    </row>
    <row r="289" spans="1:19" ht="17" thickBot="1" x14ac:dyDescent="0.25">
      <c r="A289" s="83" t="s">
        <v>353</v>
      </c>
      <c r="B289" s="176" t="s">
        <v>354</v>
      </c>
      <c r="C289" s="84"/>
      <c r="D289" s="84"/>
      <c r="E289" s="84"/>
      <c r="F289" s="84"/>
      <c r="G289" s="84"/>
      <c r="H289" s="84"/>
      <c r="I289" s="84"/>
      <c r="J289" s="594"/>
      <c r="K289" s="248"/>
      <c r="L289" s="594"/>
      <c r="M289" s="84"/>
      <c r="N289" s="84"/>
      <c r="O289" s="97"/>
      <c r="S289"/>
    </row>
    <row r="290" spans="1:19" x14ac:dyDescent="0.2">
      <c r="A290" s="829" t="s">
        <v>355</v>
      </c>
      <c r="B290" s="831" t="s">
        <v>356</v>
      </c>
      <c r="C290" s="831">
        <v>557.20000000000005</v>
      </c>
      <c r="D290" s="831" t="s">
        <v>358</v>
      </c>
      <c r="E290" s="156" t="s">
        <v>356</v>
      </c>
      <c r="F290" s="156" t="s">
        <v>358</v>
      </c>
      <c r="G290" s="334">
        <v>1.4500000000000001E-2</v>
      </c>
      <c r="H290" s="135" t="s">
        <v>564</v>
      </c>
      <c r="I290" s="135" t="s">
        <v>512</v>
      </c>
      <c r="J290" s="433">
        <f>IF(H290="Pa",G290,IF(H290="log-Pa",10^G290,IF(H290="mm Hg",G290*133.322,0)))</f>
        <v>1.9331690000000001</v>
      </c>
      <c r="K290" s="323">
        <f>IF(H290="Pa",LOG(G290),IF(H290="log-Pa",G290,IF(H290="mm Hg",LOG(G290*133.322),0)))</f>
        <v>0.28626982224333536</v>
      </c>
      <c r="L290" s="433">
        <f>IF(H290="Pa",G290/133.322,IF(H290="log-Pa",(10^G290)/133.322,IF(H290="mm Hg",G290,0)))</f>
        <v>1.4500000000000001E-2</v>
      </c>
      <c r="M290" s="135" t="s">
        <v>33</v>
      </c>
      <c r="N290" s="201" t="s">
        <v>511</v>
      </c>
      <c r="O290" s="99">
        <f>VLOOKUP(N290,References!$B$7:$F$252,5,FALSE)</f>
        <v>36</v>
      </c>
      <c r="S290"/>
    </row>
    <row r="291" spans="1:19" x14ac:dyDescent="0.2">
      <c r="A291" s="830"/>
      <c r="B291" s="832"/>
      <c r="C291" s="832"/>
      <c r="D291" s="832"/>
      <c r="E291" s="145" t="s">
        <v>356</v>
      </c>
      <c r="F291" s="145" t="s">
        <v>358</v>
      </c>
      <c r="G291" s="354">
        <v>7.2899999999999997E-5</v>
      </c>
      <c r="H291" s="58" t="s">
        <v>564</v>
      </c>
      <c r="I291" s="58" t="s">
        <v>514</v>
      </c>
      <c r="J291" s="433">
        <f>IF(H291="Pa",G291,IF(H291="log-Pa",10^G291,IF(H291="mm Hg",G291*133.322,0)))</f>
        <v>9.7191737999999996E-3</v>
      </c>
      <c r="K291" s="178">
        <f>IF(H291="Pa",LOG(G291),IF(H291="log-Pa",G291,IF(H291="mm Hg",LOG(G291*133.322),0)))</f>
        <v>-2.012370651673665</v>
      </c>
      <c r="L291" s="433">
        <f>IF(H291="Pa",G291/133.322,IF(H291="log-Pa",(10^G291)/133.322,IF(H291="mm Hg",G291,0)))</f>
        <v>7.2899999999999997E-5</v>
      </c>
      <c r="M291" s="58" t="s">
        <v>33</v>
      </c>
      <c r="N291" s="30" t="s">
        <v>511</v>
      </c>
      <c r="O291" s="100">
        <f>VLOOKUP(N291,References!$B$7:$F$252,5,FALSE)</f>
        <v>36</v>
      </c>
      <c r="S291"/>
    </row>
    <row r="292" spans="1:19" x14ac:dyDescent="0.2">
      <c r="A292" s="830"/>
      <c r="B292" s="832"/>
      <c r="C292" s="832"/>
      <c r="D292" s="834"/>
      <c r="E292" s="239" t="s">
        <v>356</v>
      </c>
      <c r="F292" s="239" t="s">
        <v>358</v>
      </c>
      <c r="G292" s="327">
        <v>1.5200000000000001E-4</v>
      </c>
      <c r="H292" s="59" t="s">
        <v>564</v>
      </c>
      <c r="I292" s="59" t="s">
        <v>515</v>
      </c>
      <c r="J292" s="469">
        <f>IF(H292="Pa",G292,IF(H292="log-Pa",10^G292,IF(H292="mm Hg",G292*133.322,0)))</f>
        <v>2.0264944E-2</v>
      </c>
      <c r="K292" s="183">
        <f>IF(H292="Pa",LOG(G292),IF(H292="log-Pa",G292,IF(H292="mm Hg",LOG(G292*133.322),0)))</f>
        <v>-1.6932545920468669</v>
      </c>
      <c r="L292" s="469">
        <f>IF(H292="Pa",G292/133.322,IF(H292="log-Pa",(10^G292)/133.322,IF(H292="mm Hg",G292,0)))</f>
        <v>1.5200000000000001E-4</v>
      </c>
      <c r="M292" s="59" t="s">
        <v>33</v>
      </c>
      <c r="N292" s="37" t="s">
        <v>511</v>
      </c>
      <c r="O292" s="122">
        <f>VLOOKUP(N292,References!$B$7:$F$252,5,FALSE)</f>
        <v>36</v>
      </c>
      <c r="S292"/>
    </row>
    <row r="293" spans="1:19" x14ac:dyDescent="0.2">
      <c r="A293" s="849" t="s">
        <v>362</v>
      </c>
      <c r="B293" s="833" t="s">
        <v>363</v>
      </c>
      <c r="C293" s="833">
        <v>571.20000000000005</v>
      </c>
      <c r="D293" s="832" t="s">
        <v>365</v>
      </c>
      <c r="E293" s="145" t="s">
        <v>363</v>
      </c>
      <c r="F293" s="145" t="s">
        <v>365</v>
      </c>
      <c r="G293" s="354">
        <v>1.7899999999999999E-2</v>
      </c>
      <c r="H293" s="58" t="s">
        <v>564</v>
      </c>
      <c r="I293" s="58" t="s">
        <v>27</v>
      </c>
      <c r="J293" s="433">
        <f>IF(H296="Pa",G296,IF(H296="log-Pa",10^G296,IF(H296="mm Hg",G296*133.322,0)))</f>
        <v>2.0892961308540373E-3</v>
      </c>
      <c r="K293" s="178">
        <f>IF(H296="Pa",LOG(G296),IF(H296="log-Pa",G296,IF(H296="mm Hg",LOG(G296*133.322),0)))</f>
        <v>-2.68</v>
      </c>
      <c r="L293" s="433">
        <f>IF(H296="Pa",G296/133.322,IF(H296="log-Pa",(10^G296)/133.322,IF(H296="mm Hg",G296,0)))</f>
        <v>1.5671053020912055E-5</v>
      </c>
      <c r="M293" s="58">
        <v>23</v>
      </c>
      <c r="N293" s="30" t="s">
        <v>570</v>
      </c>
      <c r="O293" s="100">
        <f>VLOOKUP(N293,References!$B$7:$F$252,5,FALSE)</f>
        <v>9</v>
      </c>
      <c r="S293"/>
    </row>
    <row r="294" spans="1:19" x14ac:dyDescent="0.2">
      <c r="A294" s="830"/>
      <c r="B294" s="832"/>
      <c r="C294" s="832"/>
      <c r="D294" s="832"/>
      <c r="E294" s="145" t="s">
        <v>363</v>
      </c>
      <c r="F294" s="145" t="s">
        <v>365</v>
      </c>
      <c r="G294" s="354">
        <v>4.0800000000000002E-5</v>
      </c>
      <c r="H294" s="58" t="s">
        <v>564</v>
      </c>
      <c r="I294" s="58" t="s">
        <v>512</v>
      </c>
      <c r="J294" s="433">
        <f>IF(H293="Pa",G293,IF(H293="log-Pa",10^G293,IF(H293="mm Hg",G293*133.322,0)))</f>
        <v>2.3864638</v>
      </c>
      <c r="K294" s="178">
        <f>IF(H293="Pa",LOG(G293),IF(H293="log-Pa",G293,IF(H293="mm Hg",LOG(G293*133.322),0)))</f>
        <v>0.37775485098825362</v>
      </c>
      <c r="L294" s="433">
        <f>IF(H293="Pa",G293/133.322,IF(H293="log-Pa",(10^G293)/133.322,IF(H293="mm Hg",G293,0)))</f>
        <v>1.7899999999999999E-2</v>
      </c>
      <c r="M294" s="58" t="s">
        <v>33</v>
      </c>
      <c r="N294" s="30" t="s">
        <v>511</v>
      </c>
      <c r="O294" s="100">
        <f>VLOOKUP(N294,References!$B$7:$F$252,5,FALSE)</f>
        <v>36</v>
      </c>
      <c r="S294"/>
    </row>
    <row r="295" spans="1:19" x14ac:dyDescent="0.2">
      <c r="A295" s="830"/>
      <c r="B295" s="832"/>
      <c r="C295" s="832"/>
      <c r="D295" s="832"/>
      <c r="E295" s="145" t="s">
        <v>363</v>
      </c>
      <c r="F295" s="145" t="s">
        <v>365</v>
      </c>
      <c r="G295" s="354">
        <v>2.05E-5</v>
      </c>
      <c r="H295" s="58" t="s">
        <v>564</v>
      </c>
      <c r="I295" s="58" t="s">
        <v>514</v>
      </c>
      <c r="J295" s="433">
        <f>IF(H294="Pa",G294,IF(H294="log-Pa",10^G294,IF(H294="mm Hg",G294*133.322,0)))</f>
        <v>5.4395376000000006E-3</v>
      </c>
      <c r="K295" s="178">
        <f>IF(H294="Pa",LOG(G294),IF(H294="log-Pa",G294,IF(H294="mm Hg",LOG(G294*133.322),0)))</f>
        <v>-2.2644380169017597</v>
      </c>
      <c r="L295" s="433">
        <f>IF(H294="Pa",G294/133.322,IF(H294="log-Pa",(10^G294)/133.322,IF(H294="mm Hg",G294,0)))</f>
        <v>4.0800000000000002E-5</v>
      </c>
      <c r="M295" s="58" t="s">
        <v>33</v>
      </c>
      <c r="N295" s="30" t="s">
        <v>511</v>
      </c>
      <c r="O295" s="100">
        <f>VLOOKUP(N295,References!$B$7:$F$252,5,FALSE)</f>
        <v>36</v>
      </c>
      <c r="S295"/>
    </row>
    <row r="296" spans="1:19" x14ac:dyDescent="0.2">
      <c r="A296" s="847"/>
      <c r="B296" s="834"/>
      <c r="C296" s="834"/>
      <c r="D296" s="834"/>
      <c r="E296" s="239" t="s">
        <v>363</v>
      </c>
      <c r="F296" s="239" t="s">
        <v>365</v>
      </c>
      <c r="G296" s="59">
        <v>-2.68</v>
      </c>
      <c r="H296" s="59" t="s">
        <v>568</v>
      </c>
      <c r="I296" s="59" t="s">
        <v>515</v>
      </c>
      <c r="J296" s="469">
        <f>IF(H295="Pa",G295,IF(H295="log-Pa",10^G295,IF(H295="mm Hg",G295*133.322,0)))</f>
        <v>2.7331009999999999E-3</v>
      </c>
      <c r="K296" s="183">
        <f>IF(H295="Pa",LOG(G295),IF(H295="log-Pa",G295,IF(H295="mm Hg",LOG(G295*133.322),0)))</f>
        <v>-2.5633443189358851</v>
      </c>
      <c r="L296" s="469">
        <f>IF(H295="Pa",G295/133.322,IF(H295="log-Pa",(10^G295)/133.322,IF(H295="mm Hg",G295,0)))</f>
        <v>2.05E-5</v>
      </c>
      <c r="M296" s="59" t="s">
        <v>33</v>
      </c>
      <c r="N296" s="37" t="s">
        <v>511</v>
      </c>
      <c r="O296" s="122">
        <f>VLOOKUP(N296,References!$B$7:$F$252,5,FALSE)</f>
        <v>36</v>
      </c>
      <c r="S296"/>
    </row>
    <row r="297" spans="1:19" x14ac:dyDescent="0.2">
      <c r="A297" s="830" t="s">
        <v>369</v>
      </c>
      <c r="B297" s="832" t="s">
        <v>370</v>
      </c>
      <c r="C297" s="832">
        <v>585.20000000000005</v>
      </c>
      <c r="D297" s="832" t="s">
        <v>372</v>
      </c>
      <c r="E297" s="145" t="s">
        <v>370</v>
      </c>
      <c r="F297" s="145" t="s">
        <v>372</v>
      </c>
      <c r="G297" s="354">
        <v>1.24E-2</v>
      </c>
      <c r="H297" s="58" t="s">
        <v>564</v>
      </c>
      <c r="I297" s="58" t="s">
        <v>512</v>
      </c>
      <c r="J297" s="433">
        <f>IF(H297="Pa",G297,IF(H297="log-Pa",10^G297,IF(H297="mm Hg",G297*133.322,0)))</f>
        <v>1.6531928</v>
      </c>
      <c r="K297" s="178">
        <f>IF(H297="Pa",LOG(G297),IF(H297="log-Pa",G297,IF(H297="mm Hg",LOG(G297*133.322),0)))</f>
        <v>0.21832350517059554</v>
      </c>
      <c r="L297" s="433">
        <f>IF(H297="Pa",G297/133.322,IF(H297="log-Pa",(10^G297)/133.322,IF(H297="mm Hg",G297,0)))</f>
        <v>1.24E-2</v>
      </c>
      <c r="M297" s="58" t="s">
        <v>33</v>
      </c>
      <c r="N297" s="30" t="s">
        <v>511</v>
      </c>
      <c r="O297" s="100">
        <f>VLOOKUP(N297,References!$B$7:$F$252,5,FALSE)</f>
        <v>36</v>
      </c>
      <c r="S297"/>
    </row>
    <row r="298" spans="1:19" x14ac:dyDescent="0.2">
      <c r="A298" s="830"/>
      <c r="B298" s="832"/>
      <c r="C298" s="832"/>
      <c r="D298" s="832"/>
      <c r="E298" s="145" t="s">
        <v>370</v>
      </c>
      <c r="F298" s="145" t="s">
        <v>372</v>
      </c>
      <c r="G298" s="354">
        <v>1.27E-5</v>
      </c>
      <c r="H298" s="58" t="s">
        <v>564</v>
      </c>
      <c r="I298" s="58" t="s">
        <v>514</v>
      </c>
      <c r="J298" s="433">
        <f>IF(H298="Pa",G298,IF(H298="log-Pa",10^G298,IF(H298="mm Hg",G298*133.322,0)))</f>
        <v>1.6931894E-3</v>
      </c>
      <c r="K298" s="178">
        <f>IF(H298="Pa",LOG(G298),IF(H298="log-Pa",G298,IF(H298="mm Hg",LOG(G298*133.322),0)))</f>
        <v>-2.7712944590356825</v>
      </c>
      <c r="L298" s="433">
        <f>IF(H298="Pa",G298/133.322,IF(H298="log-Pa",(10^G298)/133.322,IF(H298="mm Hg",G298,0)))</f>
        <v>1.27E-5</v>
      </c>
      <c r="M298" s="58" t="s">
        <v>33</v>
      </c>
      <c r="N298" s="30" t="s">
        <v>511</v>
      </c>
      <c r="O298" s="100">
        <f>VLOOKUP(N298,References!$B$7:$F$252,5,FALSE)</f>
        <v>36</v>
      </c>
      <c r="S298"/>
    </row>
    <row r="299" spans="1:19" ht="17" thickBot="1" x14ac:dyDescent="0.25">
      <c r="A299" s="844"/>
      <c r="B299" s="845"/>
      <c r="C299" s="845"/>
      <c r="D299" s="845"/>
      <c r="E299" s="146" t="s">
        <v>370</v>
      </c>
      <c r="F299" s="146" t="s">
        <v>372</v>
      </c>
      <c r="G299" s="324">
        <v>2.41E-5</v>
      </c>
      <c r="H299" s="138" t="s">
        <v>564</v>
      </c>
      <c r="I299" s="138" t="s">
        <v>515</v>
      </c>
      <c r="J299" s="433">
        <f>IF(H299="Pa",G299,IF(H299="log-Pa",10^G299,IF(H299="mm Hg",G299*133.322,0)))</f>
        <v>3.2130601999999999E-3</v>
      </c>
      <c r="K299" s="284">
        <f>IF(H299="Pa",LOG(G299),IF(H299="log-Pa",G299,IF(H299="mm Hg",LOG(G299*133.322),0)))</f>
        <v>-2.4930811374167714</v>
      </c>
      <c r="L299" s="433">
        <f>IF(H299="Pa",G299/133.322,IF(H299="log-Pa",(10^G299)/133.322,IF(H299="mm Hg",G299,0)))</f>
        <v>2.41E-5</v>
      </c>
      <c r="M299" s="138" t="s">
        <v>33</v>
      </c>
      <c r="N299" s="210" t="s">
        <v>511</v>
      </c>
      <c r="O299" s="101">
        <f>VLOOKUP(N299,References!$B$7:$F$252,5,FALSE)</f>
        <v>36</v>
      </c>
      <c r="S299"/>
    </row>
    <row r="300" spans="1:19" ht="17" thickBot="1" x14ac:dyDescent="0.25">
      <c r="A300" s="78" t="s">
        <v>376</v>
      </c>
      <c r="B300" s="158" t="s">
        <v>377</v>
      </c>
      <c r="C300" s="81"/>
      <c r="D300" s="81"/>
      <c r="E300" s="81"/>
      <c r="F300" s="81"/>
      <c r="G300" s="81"/>
      <c r="H300" s="81"/>
      <c r="I300" s="81"/>
      <c r="J300" s="594"/>
      <c r="K300" s="249"/>
      <c r="L300" s="594"/>
      <c r="M300" s="81"/>
      <c r="N300" s="81"/>
      <c r="O300" s="96"/>
      <c r="S300"/>
    </row>
    <row r="301" spans="1:19" x14ac:dyDescent="0.2">
      <c r="A301" s="868" t="s">
        <v>378</v>
      </c>
      <c r="B301" s="869" t="s">
        <v>379</v>
      </c>
      <c r="C301" s="832">
        <v>264.10000000000002</v>
      </c>
      <c r="D301" s="832" t="s">
        <v>380</v>
      </c>
      <c r="E301" s="149" t="s">
        <v>379</v>
      </c>
      <c r="F301" s="145" t="s">
        <v>380</v>
      </c>
      <c r="G301" s="58">
        <v>1670</v>
      </c>
      <c r="H301" s="58" t="s">
        <v>562</v>
      </c>
      <c r="I301" s="58" t="s">
        <v>27</v>
      </c>
      <c r="J301" s="433">
        <f t="shared" ref="J301:J327" si="120">IF(H301="Pa",G301,IF(H301="log-Pa",10^G301,IF(H301="mm Hg",G301*133.322,0)))</f>
        <v>1670</v>
      </c>
      <c r="K301" s="178">
        <f t="shared" ref="K301:K327" si="121">IF(H301="Pa",LOG(G301),IF(H301="log-Pa",G301,IF(H301="mm Hg",LOG(G301*133.322),0)))</f>
        <v>3.2227164711475833</v>
      </c>
      <c r="L301" s="433">
        <f t="shared" ref="L301:L327" si="122">IF(H301="Pa",G301/133.322,IF(H301="log-Pa",(10^G301)/133.322,IF(H301="mm Hg",G301,0)))</f>
        <v>12.526064715500818</v>
      </c>
      <c r="M301" s="58">
        <v>25</v>
      </c>
      <c r="N301" s="30" t="s">
        <v>576</v>
      </c>
      <c r="O301" s="100">
        <f>VLOOKUP(N301,References!$B$7:$F$252,5,FALSE)</f>
        <v>73</v>
      </c>
      <c r="S301"/>
    </row>
    <row r="302" spans="1:19" x14ac:dyDescent="0.2">
      <c r="A302" s="868"/>
      <c r="B302" s="869"/>
      <c r="C302" s="832"/>
      <c r="D302" s="832"/>
      <c r="E302" s="149" t="s">
        <v>379</v>
      </c>
      <c r="F302" s="145" t="s">
        <v>380</v>
      </c>
      <c r="G302" s="58">
        <v>992</v>
      </c>
      <c r="H302" s="58" t="s">
        <v>562</v>
      </c>
      <c r="I302" s="58" t="s">
        <v>27</v>
      </c>
      <c r="J302" s="433">
        <f t="shared" si="120"/>
        <v>992</v>
      </c>
      <c r="K302" s="178">
        <f t="shared" si="121"/>
        <v>2.9965116721541785</v>
      </c>
      <c r="L302" s="433">
        <f t="shared" si="122"/>
        <v>7.4406324537585693</v>
      </c>
      <c r="M302" s="58">
        <v>25</v>
      </c>
      <c r="N302" s="30" t="s">
        <v>578</v>
      </c>
      <c r="O302" s="100">
        <f>VLOOKUP(N302,References!$B$7:$F$252,5,FALSE)</f>
        <v>121</v>
      </c>
      <c r="S302"/>
    </row>
    <row r="303" spans="1:19" x14ac:dyDescent="0.2">
      <c r="A303" s="868"/>
      <c r="B303" s="869"/>
      <c r="C303" s="832"/>
      <c r="D303" s="832"/>
      <c r="E303" s="149" t="s">
        <v>379</v>
      </c>
      <c r="F303" s="145" t="s">
        <v>380</v>
      </c>
      <c r="G303" s="58">
        <v>216</v>
      </c>
      <c r="H303" s="58" t="s">
        <v>562</v>
      </c>
      <c r="I303" s="58" t="s">
        <v>27</v>
      </c>
      <c r="J303" s="433">
        <f t="shared" si="120"/>
        <v>216</v>
      </c>
      <c r="K303" s="178">
        <f t="shared" si="121"/>
        <v>2.3344537511509307</v>
      </c>
      <c r="L303" s="433">
        <f t="shared" si="122"/>
        <v>1.6201377117054949</v>
      </c>
      <c r="M303" s="58">
        <v>25</v>
      </c>
      <c r="N303" s="30" t="s">
        <v>382</v>
      </c>
      <c r="O303" s="100">
        <f>VLOOKUP(N303,References!$B$7:$F$252,5,FALSE)</f>
        <v>64</v>
      </c>
      <c r="S303"/>
    </row>
    <row r="304" spans="1:19" x14ac:dyDescent="0.2">
      <c r="A304" s="868"/>
      <c r="B304" s="869"/>
      <c r="C304" s="832"/>
      <c r="D304" s="832"/>
      <c r="E304" s="149" t="s">
        <v>379</v>
      </c>
      <c r="F304" s="145" t="s">
        <v>380</v>
      </c>
      <c r="G304" s="58">
        <v>2.33</v>
      </c>
      <c r="H304" s="58" t="s">
        <v>568</v>
      </c>
      <c r="I304" s="58" t="s">
        <v>27</v>
      </c>
      <c r="J304" s="433">
        <f t="shared" si="120"/>
        <v>213.79620895022339</v>
      </c>
      <c r="K304" s="178">
        <f t="shared" si="121"/>
        <v>2.33</v>
      </c>
      <c r="L304" s="433">
        <f t="shared" si="122"/>
        <v>1.603607873795948</v>
      </c>
      <c r="M304" s="58">
        <v>25</v>
      </c>
      <c r="N304" s="30" t="s">
        <v>570</v>
      </c>
      <c r="O304" s="100">
        <f>VLOOKUP(N304,References!$B$7:$F$252,5,FALSE)</f>
        <v>9</v>
      </c>
      <c r="S304"/>
    </row>
    <row r="305" spans="1:19" x14ac:dyDescent="0.2">
      <c r="A305" s="868"/>
      <c r="B305" s="869"/>
      <c r="C305" s="832"/>
      <c r="D305" s="832"/>
      <c r="E305" s="149" t="s">
        <v>379</v>
      </c>
      <c r="F305" s="145" t="s">
        <v>380</v>
      </c>
      <c r="G305" s="58">
        <v>-0.02</v>
      </c>
      <c r="H305" s="58" t="s">
        <v>568</v>
      </c>
      <c r="I305" s="58" t="s">
        <v>522</v>
      </c>
      <c r="J305" s="433">
        <f t="shared" si="120"/>
        <v>0.95499258602143589</v>
      </c>
      <c r="K305" s="178">
        <f t="shared" si="121"/>
        <v>-0.02</v>
      </c>
      <c r="L305" s="433">
        <f t="shared" si="122"/>
        <v>7.1630532546874178E-3</v>
      </c>
      <c r="M305" s="58">
        <v>25</v>
      </c>
      <c r="N305" s="30" t="s">
        <v>570</v>
      </c>
      <c r="O305" s="100">
        <f>VLOOKUP(N305,References!$B$7:$F$252,5,FALSE)</f>
        <v>9</v>
      </c>
      <c r="S305"/>
    </row>
    <row r="306" spans="1:19" x14ac:dyDescent="0.2">
      <c r="A306" s="868"/>
      <c r="B306" s="869"/>
      <c r="C306" s="832"/>
      <c r="D306" s="832"/>
      <c r="E306" s="149" t="s">
        <v>379</v>
      </c>
      <c r="F306" s="145" t="s">
        <v>380</v>
      </c>
      <c r="G306" s="58">
        <v>-0.26</v>
      </c>
      <c r="H306" s="58" t="s">
        <v>568</v>
      </c>
      <c r="I306" s="58" t="s">
        <v>571</v>
      </c>
      <c r="J306" s="433">
        <f t="shared" si="120"/>
        <v>0.54954087385762451</v>
      </c>
      <c r="K306" s="178">
        <f t="shared" si="121"/>
        <v>-0.26</v>
      </c>
      <c r="L306" s="433">
        <f t="shared" si="122"/>
        <v>4.1219069160200452E-3</v>
      </c>
      <c r="M306" s="58">
        <v>25</v>
      </c>
      <c r="N306" s="30" t="s">
        <v>570</v>
      </c>
      <c r="O306" s="100">
        <f>VLOOKUP(N306,References!$B$7:$F$252,5,FALSE)</f>
        <v>9</v>
      </c>
      <c r="S306"/>
    </row>
    <row r="307" spans="1:19" x14ac:dyDescent="0.2">
      <c r="A307" s="868"/>
      <c r="B307" s="869"/>
      <c r="C307" s="832"/>
      <c r="D307" s="832"/>
      <c r="E307" s="149" t="s">
        <v>379</v>
      </c>
      <c r="F307" s="145" t="s">
        <v>380</v>
      </c>
      <c r="G307" s="58">
        <v>-0.24</v>
      </c>
      <c r="H307" s="58" t="s">
        <v>568</v>
      </c>
      <c r="I307" s="58" t="s">
        <v>571</v>
      </c>
      <c r="J307" s="433">
        <f t="shared" si="120"/>
        <v>0.57543993733715693</v>
      </c>
      <c r="K307" s="178">
        <f t="shared" si="121"/>
        <v>-0.24</v>
      </c>
      <c r="L307" s="433">
        <f t="shared" si="122"/>
        <v>4.3161664041730316E-3</v>
      </c>
      <c r="M307" s="58">
        <v>25</v>
      </c>
      <c r="N307" s="30" t="s">
        <v>570</v>
      </c>
      <c r="O307" s="100">
        <f>VLOOKUP(N307,References!$B$7:$F$252,5,FALSE)</f>
        <v>9</v>
      </c>
      <c r="S307"/>
    </row>
    <row r="308" spans="1:19" x14ac:dyDescent="0.2">
      <c r="A308" s="868"/>
      <c r="B308" s="869"/>
      <c r="C308" s="832"/>
      <c r="D308" s="832"/>
      <c r="E308" s="149" t="s">
        <v>379</v>
      </c>
      <c r="F308" s="145" t="s">
        <v>380</v>
      </c>
      <c r="G308" s="58">
        <v>-0.79</v>
      </c>
      <c r="H308" s="58" t="s">
        <v>568</v>
      </c>
      <c r="I308" s="58" t="s">
        <v>513</v>
      </c>
      <c r="J308" s="433">
        <f t="shared" si="120"/>
        <v>0.16218100973589297</v>
      </c>
      <c r="K308" s="178">
        <f t="shared" si="121"/>
        <v>-0.79</v>
      </c>
      <c r="L308" s="433">
        <f t="shared" si="122"/>
        <v>1.2164609722018344E-3</v>
      </c>
      <c r="M308" s="58">
        <v>25</v>
      </c>
      <c r="N308" s="30" t="s">
        <v>570</v>
      </c>
      <c r="O308" s="100">
        <f>VLOOKUP(N308,References!$B$7:$F$252,5,FALSE)</f>
        <v>9</v>
      </c>
      <c r="S308"/>
    </row>
    <row r="309" spans="1:19" x14ac:dyDescent="0.2">
      <c r="A309" s="868"/>
      <c r="B309" s="869"/>
      <c r="C309" s="832"/>
      <c r="D309" s="832"/>
      <c r="E309" s="149" t="s">
        <v>379</v>
      </c>
      <c r="F309" s="145" t="s">
        <v>380</v>
      </c>
      <c r="G309" s="58">
        <v>2.33</v>
      </c>
      <c r="H309" s="58" t="s">
        <v>568</v>
      </c>
      <c r="I309" s="58" t="s">
        <v>27</v>
      </c>
      <c r="J309" s="433">
        <f t="shared" si="120"/>
        <v>213.79620895022339</v>
      </c>
      <c r="K309" s="178">
        <f t="shared" si="121"/>
        <v>2.33</v>
      </c>
      <c r="L309" s="433">
        <f t="shared" si="122"/>
        <v>1.603607873795948</v>
      </c>
      <c r="M309" s="58">
        <v>25</v>
      </c>
      <c r="N309" s="30" t="s">
        <v>520</v>
      </c>
      <c r="O309" s="100">
        <f>VLOOKUP(N309,References!$B$7:$F$252,5,FALSE)</f>
        <v>14</v>
      </c>
      <c r="S309"/>
    </row>
    <row r="310" spans="1:19" x14ac:dyDescent="0.2">
      <c r="A310" s="868"/>
      <c r="B310" s="869"/>
      <c r="C310" s="832"/>
      <c r="D310" s="832"/>
      <c r="E310" s="149" t="s">
        <v>379</v>
      </c>
      <c r="F310" s="145" t="s">
        <v>380</v>
      </c>
      <c r="G310" s="58">
        <v>2.44</v>
      </c>
      <c r="H310" s="58" t="s">
        <v>568</v>
      </c>
      <c r="I310" s="58" t="s">
        <v>519</v>
      </c>
      <c r="J310" s="433">
        <f t="shared" si="120"/>
        <v>275.42287033381683</v>
      </c>
      <c r="K310" s="178">
        <f t="shared" si="121"/>
        <v>2.44</v>
      </c>
      <c r="L310" s="433">
        <f t="shared" si="122"/>
        <v>2.0658471245092094</v>
      </c>
      <c r="M310" s="58">
        <v>25</v>
      </c>
      <c r="N310" s="30" t="s">
        <v>520</v>
      </c>
      <c r="O310" s="100">
        <f>VLOOKUP(N310,References!$B$7:$F$252,5,FALSE)</f>
        <v>14</v>
      </c>
      <c r="S310"/>
    </row>
    <row r="311" spans="1:19" x14ac:dyDescent="0.2">
      <c r="A311" s="868"/>
      <c r="B311" s="869"/>
      <c r="C311" s="832"/>
      <c r="D311" s="832"/>
      <c r="E311" s="149" t="s">
        <v>379</v>
      </c>
      <c r="F311" s="145" t="s">
        <v>380</v>
      </c>
      <c r="G311" s="58">
        <v>2.31</v>
      </c>
      <c r="H311" s="58" t="s">
        <v>568</v>
      </c>
      <c r="I311" s="58" t="s">
        <v>522</v>
      </c>
      <c r="J311" s="433">
        <f t="shared" si="120"/>
        <v>204.17379446695315</v>
      </c>
      <c r="K311" s="178">
        <f t="shared" si="121"/>
        <v>2.31</v>
      </c>
      <c r="L311" s="433">
        <f t="shared" si="122"/>
        <v>1.5314336303607292</v>
      </c>
      <c r="M311" s="58" t="s">
        <v>33</v>
      </c>
      <c r="N311" s="30" t="s">
        <v>523</v>
      </c>
      <c r="O311" s="100">
        <f>VLOOKUP(N311,References!$B$7:$F$252,5,FALSE)</f>
        <v>127</v>
      </c>
      <c r="S311"/>
    </row>
    <row r="312" spans="1:19" x14ac:dyDescent="0.2">
      <c r="A312" s="868"/>
      <c r="B312" s="869"/>
      <c r="C312" s="832"/>
      <c r="D312" s="832"/>
      <c r="E312" s="149" t="s">
        <v>379</v>
      </c>
      <c r="F312" s="145" t="s">
        <v>380</v>
      </c>
      <c r="G312" s="58">
        <v>1330</v>
      </c>
      <c r="H312" s="58" t="s">
        <v>562</v>
      </c>
      <c r="I312" s="58" t="s">
        <v>513</v>
      </c>
      <c r="J312" s="433">
        <f t="shared" si="120"/>
        <v>1330</v>
      </c>
      <c r="K312" s="178">
        <f t="shared" si="121"/>
        <v>3.1238516409670858</v>
      </c>
      <c r="L312" s="433">
        <f t="shared" si="122"/>
        <v>9.9758479470755006</v>
      </c>
      <c r="M312" s="58">
        <v>25</v>
      </c>
      <c r="N312" s="30" t="s">
        <v>384</v>
      </c>
      <c r="O312" s="100">
        <f>VLOOKUP(N312,References!$B$7:$F$252,5,FALSE)</f>
        <v>123</v>
      </c>
      <c r="S312"/>
    </row>
    <row r="313" spans="1:19" x14ac:dyDescent="0.2">
      <c r="A313" s="868"/>
      <c r="B313" s="869"/>
      <c r="C313" s="832"/>
      <c r="D313" s="832"/>
      <c r="E313" s="149" t="s">
        <v>379</v>
      </c>
      <c r="F313" s="145" t="s">
        <v>380</v>
      </c>
      <c r="G313" s="58">
        <v>2.02</v>
      </c>
      <c r="H313" s="58" t="s">
        <v>568</v>
      </c>
      <c r="I313" s="58" t="s">
        <v>524</v>
      </c>
      <c r="J313" s="433">
        <f t="shared" si="120"/>
        <v>104.71285480508998</v>
      </c>
      <c r="K313" s="178">
        <f t="shared" si="121"/>
        <v>2.02</v>
      </c>
      <c r="L313" s="433">
        <f t="shared" si="122"/>
        <v>0.78541317115772324</v>
      </c>
      <c r="M313" s="58">
        <v>25</v>
      </c>
      <c r="N313" s="30" t="s">
        <v>525</v>
      </c>
      <c r="O313" s="100">
        <f>VLOOKUP(N313,References!$B$7:$F$252,5,FALSE)</f>
        <v>61</v>
      </c>
      <c r="S313"/>
    </row>
    <row r="314" spans="1:19" x14ac:dyDescent="0.2">
      <c r="A314" s="868"/>
      <c r="B314" s="869"/>
      <c r="C314" s="832"/>
      <c r="D314" s="832"/>
      <c r="E314" s="149" t="s">
        <v>379</v>
      </c>
      <c r="F314" s="145" t="s">
        <v>380</v>
      </c>
      <c r="G314" s="58">
        <v>6.21</v>
      </c>
      <c r="H314" s="58" t="s">
        <v>564</v>
      </c>
      <c r="I314" s="58" t="s">
        <v>512</v>
      </c>
      <c r="J314" s="433">
        <f t="shared" si="120"/>
        <v>827.92962</v>
      </c>
      <c r="K314" s="178">
        <f t="shared" si="121"/>
        <v>2.9179934201849407</v>
      </c>
      <c r="L314" s="433">
        <f t="shared" si="122"/>
        <v>6.21</v>
      </c>
      <c r="M314" s="58" t="s">
        <v>33</v>
      </c>
      <c r="N314" s="30" t="s">
        <v>511</v>
      </c>
      <c r="O314" s="100">
        <f>VLOOKUP(N314,References!$B$7:$F$252,5,FALSE)</f>
        <v>36</v>
      </c>
      <c r="S314"/>
    </row>
    <row r="315" spans="1:19" x14ac:dyDescent="0.2">
      <c r="A315" s="868"/>
      <c r="B315" s="869"/>
      <c r="C315" s="832"/>
      <c r="D315" s="832"/>
      <c r="E315" s="149" t="s">
        <v>379</v>
      </c>
      <c r="F315" s="145" t="s">
        <v>380</v>
      </c>
      <c r="G315" s="58">
        <v>12.9</v>
      </c>
      <c r="H315" s="58" t="s">
        <v>564</v>
      </c>
      <c r="I315" s="58" t="s">
        <v>514</v>
      </c>
      <c r="J315" s="433">
        <f t="shared" si="120"/>
        <v>1719.8538000000001</v>
      </c>
      <c r="K315" s="178">
        <f t="shared" si="121"/>
        <v>3.2354915303076095</v>
      </c>
      <c r="L315" s="433">
        <f t="shared" si="122"/>
        <v>12.9</v>
      </c>
      <c r="M315" s="58" t="s">
        <v>33</v>
      </c>
      <c r="N315" s="30" t="s">
        <v>511</v>
      </c>
      <c r="O315" s="100">
        <f>VLOOKUP(N315,References!$B$7:$F$252,5,FALSE)</f>
        <v>36</v>
      </c>
      <c r="S315"/>
    </row>
    <row r="316" spans="1:19" x14ac:dyDescent="0.2">
      <c r="A316" s="868"/>
      <c r="B316" s="869"/>
      <c r="C316" s="832"/>
      <c r="D316" s="834"/>
      <c r="E316" s="182" t="s">
        <v>379</v>
      </c>
      <c r="F316" s="239" t="s">
        <v>380</v>
      </c>
      <c r="G316" s="59">
        <v>3.62</v>
      </c>
      <c r="H316" s="59" t="s">
        <v>564</v>
      </c>
      <c r="I316" s="59" t="s">
        <v>515</v>
      </c>
      <c r="J316" s="469">
        <f t="shared" si="120"/>
        <v>482.62564000000003</v>
      </c>
      <c r="K316" s="183">
        <f t="shared" si="121"/>
        <v>2.6836103905415261</v>
      </c>
      <c r="L316" s="469">
        <f t="shared" si="122"/>
        <v>3.62</v>
      </c>
      <c r="M316" s="59" t="s">
        <v>33</v>
      </c>
      <c r="N316" s="37" t="s">
        <v>511</v>
      </c>
      <c r="O316" s="122">
        <f>VLOOKUP(N316,References!$B$7:$F$252,5,FALSE)</f>
        <v>36</v>
      </c>
      <c r="S316"/>
    </row>
    <row r="317" spans="1:19" x14ac:dyDescent="0.2">
      <c r="A317" s="867" t="s">
        <v>386</v>
      </c>
      <c r="B317" s="850" t="s">
        <v>387</v>
      </c>
      <c r="C317" s="833">
        <v>364.1</v>
      </c>
      <c r="D317" s="832" t="s">
        <v>388</v>
      </c>
      <c r="E317" s="149" t="s">
        <v>387</v>
      </c>
      <c r="F317" s="145" t="s">
        <v>388</v>
      </c>
      <c r="G317" s="58">
        <v>876</v>
      </c>
      <c r="H317" s="58" t="s">
        <v>562</v>
      </c>
      <c r="I317" s="58" t="s">
        <v>27</v>
      </c>
      <c r="J317" s="433">
        <f t="shared" si="120"/>
        <v>876</v>
      </c>
      <c r="K317" s="178">
        <f t="shared" si="121"/>
        <v>2.9425041061680806</v>
      </c>
      <c r="L317" s="433">
        <f t="shared" si="122"/>
        <v>6.5705584974722848</v>
      </c>
      <c r="M317" s="58">
        <v>25</v>
      </c>
      <c r="N317" s="30" t="s">
        <v>576</v>
      </c>
      <c r="O317" s="100">
        <f>VLOOKUP(N317,References!$B$7:$F$252,5,FALSE)</f>
        <v>73</v>
      </c>
      <c r="S317"/>
    </row>
    <row r="318" spans="1:19" x14ac:dyDescent="0.2">
      <c r="A318" s="868"/>
      <c r="B318" s="869"/>
      <c r="C318" s="832"/>
      <c r="D318" s="832"/>
      <c r="E318" s="149" t="s">
        <v>387</v>
      </c>
      <c r="F318" s="145" t="s">
        <v>388</v>
      </c>
      <c r="G318" s="58">
        <v>713</v>
      </c>
      <c r="H318" s="58" t="s">
        <v>562</v>
      </c>
      <c r="I318" s="58" t="s">
        <v>27</v>
      </c>
      <c r="J318" s="433">
        <f t="shared" si="120"/>
        <v>713</v>
      </c>
      <c r="K318" s="178">
        <f t="shared" si="121"/>
        <v>2.8530895298518657</v>
      </c>
      <c r="L318" s="433">
        <f t="shared" si="122"/>
        <v>5.3479545761389717</v>
      </c>
      <c r="M318" s="58">
        <v>25</v>
      </c>
      <c r="N318" s="30" t="s">
        <v>578</v>
      </c>
      <c r="O318" s="100">
        <f>VLOOKUP(N318,References!$B$7:$F$252,5,FALSE)</f>
        <v>121</v>
      </c>
      <c r="S318"/>
    </row>
    <row r="319" spans="1:19" x14ac:dyDescent="0.2">
      <c r="A319" s="868"/>
      <c r="B319" s="869"/>
      <c r="C319" s="832"/>
      <c r="D319" s="832"/>
      <c r="E319" s="149" t="s">
        <v>387</v>
      </c>
      <c r="F319" s="145" t="s">
        <v>388</v>
      </c>
      <c r="G319" s="58">
        <v>18</v>
      </c>
      <c r="H319" s="58" t="s">
        <v>562</v>
      </c>
      <c r="I319" s="58" t="s">
        <v>27</v>
      </c>
      <c r="J319" s="433">
        <f t="shared" si="120"/>
        <v>18</v>
      </c>
      <c r="K319" s="178">
        <f t="shared" si="121"/>
        <v>1.255272505103306</v>
      </c>
      <c r="L319" s="433">
        <f t="shared" si="122"/>
        <v>0.1350114759754579</v>
      </c>
      <c r="M319" s="58">
        <v>25</v>
      </c>
      <c r="N319" s="30" t="s">
        <v>382</v>
      </c>
      <c r="O319" s="100">
        <f>VLOOKUP(N319,References!$B$7:$F$252,5,FALSE)</f>
        <v>64</v>
      </c>
      <c r="S319"/>
    </row>
    <row r="320" spans="1:19" x14ac:dyDescent="0.2">
      <c r="A320" s="868"/>
      <c r="B320" s="869"/>
      <c r="C320" s="832"/>
      <c r="D320" s="832"/>
      <c r="E320" s="149" t="s">
        <v>387</v>
      </c>
      <c r="F320" s="145" t="s">
        <v>388</v>
      </c>
      <c r="G320" s="58">
        <v>44</v>
      </c>
      <c r="H320" s="58" t="s">
        <v>562</v>
      </c>
      <c r="I320" s="58" t="s">
        <v>27</v>
      </c>
      <c r="J320" s="433">
        <f t="shared" si="120"/>
        <v>44</v>
      </c>
      <c r="K320" s="178">
        <f t="shared" si="121"/>
        <v>1.6434526764861874</v>
      </c>
      <c r="L320" s="433">
        <f t="shared" si="122"/>
        <v>0.33002805238445265</v>
      </c>
      <c r="M320" s="58">
        <v>25</v>
      </c>
      <c r="N320" s="30" t="s">
        <v>382</v>
      </c>
      <c r="O320" s="100">
        <f>VLOOKUP(N320,References!$B$7:$F$252,5,FALSE)</f>
        <v>64</v>
      </c>
      <c r="S320"/>
    </row>
    <row r="321" spans="1:19" x14ac:dyDescent="0.2">
      <c r="A321" s="868"/>
      <c r="B321" s="869"/>
      <c r="C321" s="832"/>
      <c r="D321" s="832"/>
      <c r="E321" s="149" t="s">
        <v>387</v>
      </c>
      <c r="F321" s="145" t="s">
        <v>388</v>
      </c>
      <c r="G321" s="58">
        <v>1.26</v>
      </c>
      <c r="H321" s="58" t="s">
        <v>568</v>
      </c>
      <c r="I321" s="58" t="s">
        <v>27</v>
      </c>
      <c r="J321" s="433">
        <f t="shared" si="120"/>
        <v>18.197008586099841</v>
      </c>
      <c r="K321" s="178">
        <f t="shared" si="121"/>
        <v>1.26</v>
      </c>
      <c r="L321" s="433">
        <f t="shared" si="122"/>
        <v>0.13648916597485666</v>
      </c>
      <c r="M321" s="58">
        <v>25</v>
      </c>
      <c r="N321" s="30" t="s">
        <v>570</v>
      </c>
      <c r="O321" s="100">
        <f>VLOOKUP(N321,References!$B$7:$F$252,5,FALSE)</f>
        <v>9</v>
      </c>
      <c r="S321"/>
    </row>
    <row r="322" spans="1:19" x14ac:dyDescent="0.2">
      <c r="A322" s="868"/>
      <c r="B322" s="869"/>
      <c r="C322" s="832"/>
      <c r="D322" s="832"/>
      <c r="E322" s="149" t="s">
        <v>387</v>
      </c>
      <c r="F322" s="145" t="s">
        <v>388</v>
      </c>
      <c r="G322" s="58">
        <v>-0.3</v>
      </c>
      <c r="H322" s="58" t="s">
        <v>568</v>
      </c>
      <c r="I322" s="58" t="s">
        <v>522</v>
      </c>
      <c r="J322" s="433">
        <f t="shared" si="120"/>
        <v>0.50118723362727224</v>
      </c>
      <c r="K322" s="178">
        <f t="shared" si="121"/>
        <v>-0.3</v>
      </c>
      <c r="L322" s="433">
        <f t="shared" si="122"/>
        <v>3.7592237862263708E-3</v>
      </c>
      <c r="M322" s="58">
        <v>25</v>
      </c>
      <c r="N322" s="30" t="s">
        <v>570</v>
      </c>
      <c r="O322" s="100">
        <f>VLOOKUP(N322,References!$B$7:$F$252,5,FALSE)</f>
        <v>9</v>
      </c>
      <c r="S322"/>
    </row>
    <row r="323" spans="1:19" x14ac:dyDescent="0.2">
      <c r="A323" s="868"/>
      <c r="B323" s="869"/>
      <c r="C323" s="832"/>
      <c r="D323" s="832"/>
      <c r="E323" s="149" t="s">
        <v>387</v>
      </c>
      <c r="F323" s="145" t="s">
        <v>388</v>
      </c>
      <c r="G323" s="58">
        <v>-0.75</v>
      </c>
      <c r="H323" s="58" t="s">
        <v>568</v>
      </c>
      <c r="I323" s="58" t="s">
        <v>571</v>
      </c>
      <c r="J323" s="433">
        <f t="shared" si="120"/>
        <v>0.17782794100389224</v>
      </c>
      <c r="K323" s="178">
        <f t="shared" si="121"/>
        <v>-0.75</v>
      </c>
      <c r="L323" s="433">
        <f t="shared" si="122"/>
        <v>1.3338229324784524E-3</v>
      </c>
      <c r="M323" s="58">
        <v>25</v>
      </c>
      <c r="N323" s="30" t="s">
        <v>570</v>
      </c>
      <c r="O323" s="100">
        <f>VLOOKUP(N323,References!$B$7:$F$252,5,FALSE)</f>
        <v>9</v>
      </c>
      <c r="S323"/>
    </row>
    <row r="324" spans="1:19" x14ac:dyDescent="0.2">
      <c r="A324" s="868"/>
      <c r="B324" s="869"/>
      <c r="C324" s="832"/>
      <c r="D324" s="832"/>
      <c r="E324" s="149" t="s">
        <v>387</v>
      </c>
      <c r="F324" s="145" t="s">
        <v>388</v>
      </c>
      <c r="G324" s="58">
        <v>-0.35</v>
      </c>
      <c r="H324" s="58" t="s">
        <v>568</v>
      </c>
      <c r="I324" s="58" t="s">
        <v>571</v>
      </c>
      <c r="J324" s="433">
        <f t="shared" si="120"/>
        <v>0.44668359215096315</v>
      </c>
      <c r="K324" s="178">
        <f t="shared" si="121"/>
        <v>-0.35</v>
      </c>
      <c r="L324" s="433">
        <f t="shared" si="122"/>
        <v>3.3504117261289445E-3</v>
      </c>
      <c r="M324" s="58">
        <v>25</v>
      </c>
      <c r="N324" s="30" t="s">
        <v>570</v>
      </c>
      <c r="O324" s="100">
        <f>VLOOKUP(N324,References!$B$7:$F$252,5,FALSE)</f>
        <v>9</v>
      </c>
      <c r="S324"/>
    </row>
    <row r="325" spans="1:19" x14ac:dyDescent="0.2">
      <c r="A325" s="868"/>
      <c r="B325" s="869"/>
      <c r="C325" s="832"/>
      <c r="D325" s="832"/>
      <c r="E325" s="149" t="s">
        <v>387</v>
      </c>
      <c r="F325" s="145" t="s">
        <v>388</v>
      </c>
      <c r="G325" s="58">
        <v>-0.85</v>
      </c>
      <c r="H325" s="58" t="s">
        <v>568</v>
      </c>
      <c r="I325" s="58" t="s">
        <v>513</v>
      </c>
      <c r="J325" s="433">
        <f t="shared" si="120"/>
        <v>0.14125375446227542</v>
      </c>
      <c r="K325" s="178">
        <f t="shared" si="121"/>
        <v>-0.85</v>
      </c>
      <c r="L325" s="433">
        <f t="shared" si="122"/>
        <v>1.0594932153903738E-3</v>
      </c>
      <c r="M325" s="58">
        <v>25</v>
      </c>
      <c r="N325" s="30" t="s">
        <v>570</v>
      </c>
      <c r="O325" s="100">
        <f>VLOOKUP(N325,References!$B$7:$F$252,5,FALSE)</f>
        <v>9</v>
      </c>
      <c r="S325"/>
    </row>
    <row r="326" spans="1:19" x14ac:dyDescent="0.2">
      <c r="A326" s="868"/>
      <c r="B326" s="869"/>
      <c r="C326" s="832"/>
      <c r="D326" s="832"/>
      <c r="E326" s="149" t="s">
        <v>387</v>
      </c>
      <c r="F326" s="145" t="s">
        <v>388</v>
      </c>
      <c r="G326" s="58">
        <v>1.66</v>
      </c>
      <c r="H326" s="58" t="s">
        <v>568</v>
      </c>
      <c r="I326" s="58" t="s">
        <v>27</v>
      </c>
      <c r="J326" s="433">
        <f t="shared" si="120"/>
        <v>45.708818961487509</v>
      </c>
      <c r="K326" s="178">
        <f t="shared" si="121"/>
        <v>1.66</v>
      </c>
      <c r="L326" s="433">
        <f t="shared" si="122"/>
        <v>0.34284528406030146</v>
      </c>
      <c r="M326" s="58">
        <v>25</v>
      </c>
      <c r="N326" s="30" t="s">
        <v>520</v>
      </c>
      <c r="O326" s="100">
        <f>VLOOKUP(N326,References!$B$7:$F$252,5,FALSE)</f>
        <v>14</v>
      </c>
      <c r="S326"/>
    </row>
    <row r="327" spans="1:19" x14ac:dyDescent="0.2">
      <c r="A327" s="868"/>
      <c r="B327" s="869"/>
      <c r="C327" s="832"/>
      <c r="D327" s="832"/>
      <c r="E327" s="149" t="s">
        <v>387</v>
      </c>
      <c r="F327" s="145" t="s">
        <v>388</v>
      </c>
      <c r="G327" s="58">
        <v>1.34</v>
      </c>
      <c r="H327" s="58" t="s">
        <v>568</v>
      </c>
      <c r="I327" s="58" t="s">
        <v>519</v>
      </c>
      <c r="J327" s="433">
        <f t="shared" si="120"/>
        <v>21.877616239495538</v>
      </c>
      <c r="K327" s="178">
        <f t="shared" si="121"/>
        <v>1.34</v>
      </c>
      <c r="L327" s="433">
        <f t="shared" si="122"/>
        <v>0.1640960699621633</v>
      </c>
      <c r="M327" s="58">
        <v>25</v>
      </c>
      <c r="N327" s="30" t="s">
        <v>520</v>
      </c>
      <c r="O327" s="100">
        <f>VLOOKUP(N327,References!$B$7:$F$252,5,FALSE)</f>
        <v>14</v>
      </c>
      <c r="S327"/>
    </row>
    <row r="328" spans="1:19" x14ac:dyDescent="0.2">
      <c r="A328" s="868"/>
      <c r="B328" s="869"/>
      <c r="C328" s="832"/>
      <c r="D328" s="832"/>
      <c r="E328" s="149" t="s">
        <v>387</v>
      </c>
      <c r="F328" s="145" t="s">
        <v>388</v>
      </c>
      <c r="G328" s="58">
        <v>1.34</v>
      </c>
      <c r="H328" s="58" t="s">
        <v>568</v>
      </c>
      <c r="I328" s="58" t="s">
        <v>522</v>
      </c>
      <c r="J328" s="433">
        <f t="shared" ref="J328:J369" si="123">IF(H328="Pa",G328,IF(H328="log-Pa",10^G328,IF(H328="mm Hg",G328*133.322,0)))</f>
        <v>21.877616239495538</v>
      </c>
      <c r="K328" s="178">
        <f t="shared" ref="K328:K369" si="124">IF(H328="Pa",LOG(G328),IF(H328="log-Pa",G328,IF(H328="mm Hg",LOG(G328*133.322),0)))</f>
        <v>1.34</v>
      </c>
      <c r="L328" s="433">
        <f t="shared" ref="L328:L369" si="125">IF(H328="Pa",G328/133.322,IF(H328="log-Pa",(10^G328)/133.322,IF(H328="mm Hg",G328,0)))</f>
        <v>0.1640960699621633</v>
      </c>
      <c r="M328" s="58" t="s">
        <v>33</v>
      </c>
      <c r="N328" s="30" t="s">
        <v>523</v>
      </c>
      <c r="O328" s="100">
        <f>VLOOKUP(N328,References!$B$7:$F$252,5,FALSE)</f>
        <v>127</v>
      </c>
      <c r="S328"/>
    </row>
    <row r="329" spans="1:19" x14ac:dyDescent="0.2">
      <c r="A329" s="868"/>
      <c r="B329" s="869"/>
      <c r="C329" s="832"/>
      <c r="D329" s="832"/>
      <c r="E329" s="149" t="s">
        <v>387</v>
      </c>
      <c r="F329" s="145" t="s">
        <v>388</v>
      </c>
      <c r="G329" s="58">
        <v>1.58</v>
      </c>
      <c r="H329" s="58" t="s">
        <v>568</v>
      </c>
      <c r="I329" s="58" t="s">
        <v>524</v>
      </c>
      <c r="J329" s="433">
        <f>IF(H329="Pa",G329,IF(H329="log-Pa",10^G329,IF(H329="mm Hg",G329*133.322,0)))</f>
        <v>38.018939632056139</v>
      </c>
      <c r="K329" s="178">
        <f>IF(H329="Pa",LOG(G329),IF(H329="log-Pa",G329,IF(H329="mm Hg",LOG(G329*133.322),0)))</f>
        <v>1.58</v>
      </c>
      <c r="L329" s="433">
        <f>IF(H329="Pa",G329/133.322,IF(H329="log-Pa",(10^G329)/133.322,IF(H329="mm Hg",G329,0)))</f>
        <v>0.28516628637476288</v>
      </c>
      <c r="M329" s="58">
        <v>25</v>
      </c>
      <c r="N329" s="30" t="s">
        <v>525</v>
      </c>
      <c r="O329" s="100">
        <f>VLOOKUP(N329,References!$B$7:$F$252,5,FALSE)</f>
        <v>61</v>
      </c>
      <c r="S329"/>
    </row>
    <row r="330" spans="1:19" x14ac:dyDescent="0.2">
      <c r="A330" s="868"/>
      <c r="B330" s="869"/>
      <c r="C330" s="832"/>
      <c r="D330" s="832"/>
      <c r="E330" s="149" t="s">
        <v>387</v>
      </c>
      <c r="F330" s="145" t="s">
        <v>388</v>
      </c>
      <c r="G330" s="58">
        <v>2.2000000000000002</v>
      </c>
      <c r="H330" s="58" t="s">
        <v>564</v>
      </c>
      <c r="I330" s="58" t="s">
        <v>512</v>
      </c>
      <c r="J330" s="433">
        <f t="shared" si="123"/>
        <v>293.30840000000001</v>
      </c>
      <c r="K330" s="178">
        <f t="shared" si="124"/>
        <v>2.4673245008305669</v>
      </c>
      <c r="L330" s="433">
        <f t="shared" si="125"/>
        <v>2.2000000000000002</v>
      </c>
      <c r="M330" s="58" t="s">
        <v>33</v>
      </c>
      <c r="N330" s="30" t="s">
        <v>511</v>
      </c>
      <c r="O330" s="100">
        <f>VLOOKUP(N330,References!$B$7:$F$252,5,FALSE)</f>
        <v>36</v>
      </c>
      <c r="S330"/>
    </row>
    <row r="331" spans="1:19" x14ac:dyDescent="0.2">
      <c r="A331" s="868"/>
      <c r="B331" s="869"/>
      <c r="C331" s="832"/>
      <c r="D331" s="832"/>
      <c r="E331" s="149" t="s">
        <v>387</v>
      </c>
      <c r="F331" s="145" t="s">
        <v>388</v>
      </c>
      <c r="G331" s="58">
        <v>0.38200000000000001</v>
      </c>
      <c r="H331" s="58" t="s">
        <v>564</v>
      </c>
      <c r="I331" s="58" t="s">
        <v>514</v>
      </c>
      <c r="J331" s="433">
        <f t="shared" si="123"/>
        <v>50.929003999999999</v>
      </c>
      <c r="K331" s="178">
        <f t="shared" si="124"/>
        <v>1.7069651829200692</v>
      </c>
      <c r="L331" s="433">
        <f t="shared" si="125"/>
        <v>0.38200000000000001</v>
      </c>
      <c r="M331" s="58" t="s">
        <v>33</v>
      </c>
      <c r="N331" s="30" t="s">
        <v>511</v>
      </c>
      <c r="O331" s="100">
        <f>VLOOKUP(N331,References!$B$7:$F$252,5,FALSE)</f>
        <v>36</v>
      </c>
      <c r="S331"/>
    </row>
    <row r="332" spans="1:19" x14ac:dyDescent="0.2">
      <c r="A332" s="879"/>
      <c r="B332" s="851"/>
      <c r="C332" s="834"/>
      <c r="D332" s="834"/>
      <c r="E332" s="182" t="s">
        <v>387</v>
      </c>
      <c r="F332" s="239" t="s">
        <v>388</v>
      </c>
      <c r="G332" s="59">
        <v>0.60099999999999998</v>
      </c>
      <c r="H332" s="59" t="s">
        <v>564</v>
      </c>
      <c r="I332" s="59" t="s">
        <v>515</v>
      </c>
      <c r="J332" s="469">
        <f t="shared" si="123"/>
        <v>80.126521999999994</v>
      </c>
      <c r="K332" s="183">
        <f t="shared" si="124"/>
        <v>1.9037762920110999</v>
      </c>
      <c r="L332" s="469">
        <f t="shared" si="125"/>
        <v>0.60099999999999998</v>
      </c>
      <c r="M332" s="59" t="s">
        <v>33</v>
      </c>
      <c r="N332" s="37" t="s">
        <v>511</v>
      </c>
      <c r="O332" s="122">
        <f>VLOOKUP(N332,References!$B$7:$F$252,5,FALSE)</f>
        <v>36</v>
      </c>
      <c r="S332"/>
    </row>
    <row r="333" spans="1:19" x14ac:dyDescent="0.2">
      <c r="A333" s="893" t="s">
        <v>395</v>
      </c>
      <c r="B333" s="869" t="s">
        <v>396</v>
      </c>
      <c r="C333" s="832">
        <v>464.1</v>
      </c>
      <c r="D333" s="832" t="s">
        <v>397</v>
      </c>
      <c r="E333" s="149" t="s">
        <v>396</v>
      </c>
      <c r="F333" s="145" t="s">
        <v>397</v>
      </c>
      <c r="G333" s="58">
        <v>3</v>
      </c>
      <c r="H333" s="58" t="s">
        <v>562</v>
      </c>
      <c r="I333" s="58" t="s">
        <v>27</v>
      </c>
      <c r="J333" s="433">
        <f t="shared" ref="J333:J343" si="126">IF(H333="Pa",G333,IF(H333="log-Pa",10^G333,IF(H333="mm Hg",G333*133.322,0)))</f>
        <v>3</v>
      </c>
      <c r="K333" s="178">
        <f t="shared" ref="K333:K343" si="127">IF(H333="Pa",LOG(G333),IF(H333="log-Pa",G333,IF(H333="mm Hg",LOG(G333*133.322),0)))</f>
        <v>0.47712125471966244</v>
      </c>
      <c r="L333" s="433">
        <f t="shared" ref="L333:L343" si="128">IF(H333="Pa",G333/133.322,IF(H333="log-Pa",(10^G333)/133.322,IF(H333="mm Hg",G333,0)))</f>
        <v>2.2501912662576319E-2</v>
      </c>
      <c r="M333" s="58">
        <v>21</v>
      </c>
      <c r="N333" s="30" t="s">
        <v>400</v>
      </c>
      <c r="O333" s="100">
        <f>VLOOKUP(N333,References!$B$7:$F$252,5,FALSE)</f>
        <v>56</v>
      </c>
      <c r="S333"/>
    </row>
    <row r="334" spans="1:19" x14ac:dyDescent="0.2">
      <c r="A334" s="893"/>
      <c r="B334" s="869"/>
      <c r="C334" s="832"/>
      <c r="D334" s="832"/>
      <c r="E334" s="149" t="s">
        <v>396</v>
      </c>
      <c r="F334" s="145" t="s">
        <v>397</v>
      </c>
      <c r="G334" s="58">
        <v>227</v>
      </c>
      <c r="H334" s="58" t="s">
        <v>562</v>
      </c>
      <c r="I334" s="58" t="s">
        <v>27</v>
      </c>
      <c r="J334" s="433">
        <f t="shared" si="126"/>
        <v>227</v>
      </c>
      <c r="K334" s="178">
        <f t="shared" si="127"/>
        <v>2.3560258571931225</v>
      </c>
      <c r="L334" s="433">
        <f t="shared" si="128"/>
        <v>1.7026447248016081</v>
      </c>
      <c r="M334" s="58">
        <v>25</v>
      </c>
      <c r="N334" s="30" t="s">
        <v>576</v>
      </c>
      <c r="O334" s="100">
        <f>VLOOKUP(N334,References!$B$7:$F$252,5,FALSE)</f>
        <v>73</v>
      </c>
      <c r="S334"/>
    </row>
    <row r="335" spans="1:19" x14ac:dyDescent="0.2">
      <c r="A335" s="893"/>
      <c r="B335" s="869"/>
      <c r="C335" s="832"/>
      <c r="D335" s="832"/>
      <c r="E335" s="149" t="s">
        <v>396</v>
      </c>
      <c r="F335" s="145" t="s">
        <v>397</v>
      </c>
      <c r="G335" s="58">
        <v>254</v>
      </c>
      <c r="H335" s="58" t="s">
        <v>562</v>
      </c>
      <c r="I335" s="58" t="s">
        <v>27</v>
      </c>
      <c r="J335" s="433">
        <f t="shared" si="126"/>
        <v>254</v>
      </c>
      <c r="K335" s="178">
        <f t="shared" si="127"/>
        <v>2.4048337166199381</v>
      </c>
      <c r="L335" s="433">
        <f t="shared" si="128"/>
        <v>1.9051619387647949</v>
      </c>
      <c r="M335" s="58">
        <v>25</v>
      </c>
      <c r="N335" s="30" t="s">
        <v>578</v>
      </c>
      <c r="O335" s="100">
        <f>VLOOKUP(N335,References!$B$7:$F$252,5,FALSE)</f>
        <v>121</v>
      </c>
      <c r="S335"/>
    </row>
    <row r="336" spans="1:19" x14ac:dyDescent="0.2">
      <c r="A336" s="893"/>
      <c r="B336" s="869"/>
      <c r="C336" s="832"/>
      <c r="D336" s="832"/>
      <c r="E336" s="149" t="s">
        <v>396</v>
      </c>
      <c r="F336" s="145" t="s">
        <v>397</v>
      </c>
      <c r="G336" s="58">
        <v>4</v>
      </c>
      <c r="H336" s="58" t="s">
        <v>562</v>
      </c>
      <c r="I336" s="58" t="s">
        <v>27</v>
      </c>
      <c r="J336" s="433">
        <f t="shared" si="126"/>
        <v>4</v>
      </c>
      <c r="K336" s="178">
        <f t="shared" si="127"/>
        <v>0.6020599913279624</v>
      </c>
      <c r="L336" s="433">
        <f t="shared" si="128"/>
        <v>3.0002550216768425E-2</v>
      </c>
      <c r="M336" s="58">
        <v>25</v>
      </c>
      <c r="N336" s="30" t="s">
        <v>382</v>
      </c>
      <c r="O336" s="100">
        <f>VLOOKUP(N336,References!$B$7:$F$252,5,FALSE)</f>
        <v>64</v>
      </c>
      <c r="S336"/>
    </row>
    <row r="337" spans="1:19" x14ac:dyDescent="0.2">
      <c r="A337" s="893"/>
      <c r="B337" s="869"/>
      <c r="C337" s="832"/>
      <c r="D337" s="832"/>
      <c r="E337" s="149" t="s">
        <v>396</v>
      </c>
      <c r="F337" s="145" t="s">
        <v>397</v>
      </c>
      <c r="G337" s="58">
        <v>7</v>
      </c>
      <c r="H337" s="58" t="s">
        <v>562</v>
      </c>
      <c r="I337" s="58" t="s">
        <v>27</v>
      </c>
      <c r="J337" s="433">
        <f t="shared" si="126"/>
        <v>7</v>
      </c>
      <c r="K337" s="178">
        <f t="shared" si="127"/>
        <v>0.84509804001425681</v>
      </c>
      <c r="L337" s="433">
        <f t="shared" si="128"/>
        <v>5.2504462879344745E-2</v>
      </c>
      <c r="M337" s="58">
        <v>25</v>
      </c>
      <c r="N337" s="30" t="s">
        <v>382</v>
      </c>
      <c r="O337" s="100">
        <f>VLOOKUP(N337,References!$B$7:$F$252,5,FALSE)</f>
        <v>64</v>
      </c>
      <c r="S337"/>
    </row>
    <row r="338" spans="1:19" x14ac:dyDescent="0.2">
      <c r="A338" s="893"/>
      <c r="B338" s="869"/>
      <c r="C338" s="832"/>
      <c r="D338" s="832"/>
      <c r="E338" s="149" t="s">
        <v>396</v>
      </c>
      <c r="F338" s="145" t="s">
        <v>397</v>
      </c>
      <c r="G338" s="58">
        <v>0.6</v>
      </c>
      <c r="H338" s="58" t="s">
        <v>568</v>
      </c>
      <c r="I338" s="58" t="s">
        <v>27</v>
      </c>
      <c r="J338" s="433">
        <f t="shared" si="126"/>
        <v>3.9810717055349727</v>
      </c>
      <c r="K338" s="178">
        <f t="shared" si="127"/>
        <v>0.6</v>
      </c>
      <c r="L338" s="433">
        <f t="shared" si="128"/>
        <v>2.9860575940467236E-2</v>
      </c>
      <c r="M338" s="58">
        <v>25</v>
      </c>
      <c r="N338" s="30" t="s">
        <v>570</v>
      </c>
      <c r="O338" s="100">
        <f>VLOOKUP(N338,References!$B$7:$F$252,5,FALSE)</f>
        <v>9</v>
      </c>
      <c r="S338"/>
    </row>
    <row r="339" spans="1:19" x14ac:dyDescent="0.2">
      <c r="A339" s="893"/>
      <c r="B339" s="869"/>
      <c r="C339" s="832"/>
      <c r="D339" s="832"/>
      <c r="E339" s="149" t="s">
        <v>396</v>
      </c>
      <c r="F339" s="145" t="s">
        <v>397</v>
      </c>
      <c r="G339" s="58">
        <v>7.0000000000000007E-2</v>
      </c>
      <c r="H339" s="58" t="s">
        <v>568</v>
      </c>
      <c r="I339" s="58" t="s">
        <v>522</v>
      </c>
      <c r="J339" s="433">
        <f t="shared" si="126"/>
        <v>1.1748975549395295</v>
      </c>
      <c r="K339" s="178">
        <f t="shared" si="127"/>
        <v>7.0000000000000007E-2</v>
      </c>
      <c r="L339" s="433">
        <f t="shared" si="128"/>
        <v>8.8124807229079186E-3</v>
      </c>
      <c r="M339" s="58">
        <v>25</v>
      </c>
      <c r="N339" s="30" t="s">
        <v>570</v>
      </c>
      <c r="O339" s="100">
        <f>VLOOKUP(N339,References!$B$7:$F$252,5,FALSE)</f>
        <v>9</v>
      </c>
      <c r="S339"/>
    </row>
    <row r="340" spans="1:19" x14ac:dyDescent="0.2">
      <c r="A340" s="893"/>
      <c r="B340" s="869"/>
      <c r="C340" s="832"/>
      <c r="D340" s="832"/>
      <c r="E340" s="149" t="s">
        <v>396</v>
      </c>
      <c r="F340" s="145" t="s">
        <v>397</v>
      </c>
      <c r="G340" s="58">
        <v>-0.96</v>
      </c>
      <c r="H340" s="58" t="s">
        <v>568</v>
      </c>
      <c r="I340" s="58" t="s">
        <v>571</v>
      </c>
      <c r="J340" s="433">
        <f t="shared" si="126"/>
        <v>0.10964781961431849</v>
      </c>
      <c r="K340" s="178">
        <f t="shared" si="127"/>
        <v>-0.96</v>
      </c>
      <c r="L340" s="433">
        <f t="shared" si="128"/>
        <v>8.2242855353443914E-4</v>
      </c>
      <c r="M340" s="58">
        <v>25</v>
      </c>
      <c r="N340" s="30" t="s">
        <v>570</v>
      </c>
      <c r="O340" s="100">
        <f>VLOOKUP(N340,References!$B$7:$F$252,5,FALSE)</f>
        <v>9</v>
      </c>
      <c r="S340"/>
    </row>
    <row r="341" spans="1:19" x14ac:dyDescent="0.2">
      <c r="A341" s="893"/>
      <c r="B341" s="869"/>
      <c r="C341" s="832"/>
      <c r="D341" s="832"/>
      <c r="E341" s="149" t="s">
        <v>396</v>
      </c>
      <c r="F341" s="145" t="s">
        <v>397</v>
      </c>
      <c r="G341" s="58">
        <v>-0.14000000000000001</v>
      </c>
      <c r="H341" s="58" t="s">
        <v>568</v>
      </c>
      <c r="I341" s="58" t="s">
        <v>571</v>
      </c>
      <c r="J341" s="433">
        <f t="shared" si="126"/>
        <v>0.72443596007499</v>
      </c>
      <c r="K341" s="178">
        <f t="shared" si="127"/>
        <v>-0.14000000000000001</v>
      </c>
      <c r="L341" s="433">
        <f t="shared" si="128"/>
        <v>5.4337315677456836E-3</v>
      </c>
      <c r="M341" s="58">
        <v>25</v>
      </c>
      <c r="N341" s="30" t="s">
        <v>570</v>
      </c>
      <c r="O341" s="100">
        <f>VLOOKUP(N341,References!$B$7:$F$252,5,FALSE)</f>
        <v>9</v>
      </c>
      <c r="S341"/>
    </row>
    <row r="342" spans="1:19" x14ac:dyDescent="0.2">
      <c r="A342" s="893"/>
      <c r="B342" s="869"/>
      <c r="C342" s="832"/>
      <c r="D342" s="832"/>
      <c r="E342" s="149" t="s">
        <v>396</v>
      </c>
      <c r="F342" s="145" t="s">
        <v>397</v>
      </c>
      <c r="G342" s="58">
        <v>-0.51</v>
      </c>
      <c r="H342" s="58" t="s">
        <v>568</v>
      </c>
      <c r="I342" s="58" t="s">
        <v>513</v>
      </c>
      <c r="J342" s="433">
        <f t="shared" si="126"/>
        <v>0.30902954325135895</v>
      </c>
      <c r="K342" s="178">
        <f t="shared" si="127"/>
        <v>-0.51</v>
      </c>
      <c r="L342" s="433">
        <f t="shared" si="128"/>
        <v>2.3179185974659768E-3</v>
      </c>
      <c r="M342" s="58">
        <v>25</v>
      </c>
      <c r="N342" s="30" t="s">
        <v>570</v>
      </c>
      <c r="O342" s="100">
        <f>VLOOKUP(N342,References!$B$7:$F$252,5,FALSE)</f>
        <v>9</v>
      </c>
      <c r="S342"/>
    </row>
    <row r="343" spans="1:19" x14ac:dyDescent="0.2">
      <c r="A343" s="893"/>
      <c r="B343" s="869"/>
      <c r="C343" s="832"/>
      <c r="D343" s="832"/>
      <c r="E343" s="149" t="s">
        <v>396</v>
      </c>
      <c r="F343" s="145" t="s">
        <v>397</v>
      </c>
      <c r="G343" s="58">
        <v>31</v>
      </c>
      <c r="H343" s="58" t="s">
        <v>562</v>
      </c>
      <c r="I343" s="58" t="s">
        <v>27</v>
      </c>
      <c r="J343" s="433">
        <f t="shared" si="126"/>
        <v>31</v>
      </c>
      <c r="K343" s="178">
        <f t="shared" si="127"/>
        <v>1.4913616938342726</v>
      </c>
      <c r="L343" s="433">
        <f t="shared" si="128"/>
        <v>0.23251976417995529</v>
      </c>
      <c r="M343" s="58">
        <v>25</v>
      </c>
      <c r="N343" s="30" t="s">
        <v>579</v>
      </c>
      <c r="O343" s="100">
        <f>VLOOKUP(N343,References!$B$7:$F$252,5,FALSE)</f>
        <v>24</v>
      </c>
      <c r="S343"/>
    </row>
    <row r="344" spans="1:19" x14ac:dyDescent="0.2">
      <c r="A344" s="893"/>
      <c r="B344" s="869"/>
      <c r="C344" s="832"/>
      <c r="D344" s="832"/>
      <c r="E344" s="149" t="s">
        <v>396</v>
      </c>
      <c r="F344" s="145" t="s">
        <v>397</v>
      </c>
      <c r="G344" s="58">
        <v>0.82</v>
      </c>
      <c r="H344" s="58" t="s">
        <v>568</v>
      </c>
      <c r="I344" s="58" t="s">
        <v>27</v>
      </c>
      <c r="J344" s="433">
        <f t="shared" si="123"/>
        <v>6.6069344800759611</v>
      </c>
      <c r="K344" s="178">
        <f t="shared" si="124"/>
        <v>0.82</v>
      </c>
      <c r="L344" s="433">
        <f t="shared" si="125"/>
        <v>4.9556220879344449E-2</v>
      </c>
      <c r="M344" s="58">
        <v>25</v>
      </c>
      <c r="N344" s="30" t="s">
        <v>520</v>
      </c>
      <c r="O344" s="100">
        <f>VLOOKUP(N344,References!$B$7:$F$252,5,FALSE)</f>
        <v>14</v>
      </c>
      <c r="S344"/>
    </row>
    <row r="345" spans="1:19" x14ac:dyDescent="0.2">
      <c r="A345" s="893"/>
      <c r="B345" s="869"/>
      <c r="C345" s="832"/>
      <c r="D345" s="832"/>
      <c r="E345" s="149" t="s">
        <v>396</v>
      </c>
      <c r="F345" s="145" t="s">
        <v>397</v>
      </c>
      <c r="G345" s="58">
        <v>0.21</v>
      </c>
      <c r="H345" s="58" t="s">
        <v>568</v>
      </c>
      <c r="I345" s="58" t="s">
        <v>519</v>
      </c>
      <c r="J345" s="433">
        <f t="shared" si="123"/>
        <v>1.62181009735893</v>
      </c>
      <c r="K345" s="178">
        <f t="shared" si="124"/>
        <v>0.21</v>
      </c>
      <c r="L345" s="433">
        <f t="shared" si="125"/>
        <v>1.2164609722018346E-2</v>
      </c>
      <c r="M345" s="58">
        <v>25</v>
      </c>
      <c r="N345" s="30" t="s">
        <v>520</v>
      </c>
      <c r="O345" s="100">
        <f>VLOOKUP(N345,References!$B$7:$F$252,5,FALSE)</f>
        <v>14</v>
      </c>
      <c r="S345"/>
    </row>
    <row r="346" spans="1:19" x14ac:dyDescent="0.2">
      <c r="A346" s="893"/>
      <c r="B346" s="869"/>
      <c r="C346" s="832"/>
      <c r="D346" s="832"/>
      <c r="E346" s="149" t="s">
        <v>396</v>
      </c>
      <c r="F346" s="145" t="s">
        <v>397</v>
      </c>
      <c r="G346" s="58">
        <v>0.56000000000000005</v>
      </c>
      <c r="H346" s="58" t="s">
        <v>568</v>
      </c>
      <c r="I346" s="58" t="s">
        <v>522</v>
      </c>
      <c r="J346" s="433">
        <f t="shared" si="123"/>
        <v>3.630780547701014</v>
      </c>
      <c r="K346" s="178">
        <f t="shared" si="124"/>
        <v>0.56000000000000005</v>
      </c>
      <c r="L346" s="433">
        <f t="shared" si="125"/>
        <v>2.723316892711641E-2</v>
      </c>
      <c r="M346" s="58" t="s">
        <v>33</v>
      </c>
      <c r="N346" s="30" t="s">
        <v>523</v>
      </c>
      <c r="O346" s="100">
        <f>VLOOKUP(N346,References!$B$7:$F$252,5,FALSE)</f>
        <v>127</v>
      </c>
      <c r="S346"/>
    </row>
    <row r="347" spans="1:19" x14ac:dyDescent="0.2">
      <c r="A347" s="893"/>
      <c r="B347" s="869"/>
      <c r="C347" s="832"/>
      <c r="D347" s="832"/>
      <c r="E347" s="149" t="s">
        <v>396</v>
      </c>
      <c r="F347" s="145" t="s">
        <v>397</v>
      </c>
      <c r="G347" s="58">
        <v>1.1299999999999999</v>
      </c>
      <c r="H347" s="58" t="s">
        <v>568</v>
      </c>
      <c r="I347" s="58" t="s">
        <v>524</v>
      </c>
      <c r="J347" s="433">
        <f>IF(H347="Pa",G347,IF(H347="log-Pa",10^G347,IF(H347="mm Hg",G347*133.322,0)))</f>
        <v>13.489628825916535</v>
      </c>
      <c r="K347" s="178">
        <f>IF(H347="Pa",LOG(G347),IF(H347="log-Pa",G347,IF(H347="mm Hg",LOG(G347*133.322),0)))</f>
        <v>1.1299999999999999</v>
      </c>
      <c r="L347" s="433">
        <f>IF(H347="Pa",G347/133.322,IF(H347="log-Pa",(10^G347)/133.322,IF(H347="mm Hg",G347,0)))</f>
        <v>0.10118081656378193</v>
      </c>
      <c r="M347" s="58">
        <v>25</v>
      </c>
      <c r="N347" s="30" t="s">
        <v>525</v>
      </c>
      <c r="O347" s="100">
        <f>VLOOKUP(N347,References!$B$7:$F$252,5,FALSE)</f>
        <v>61</v>
      </c>
      <c r="S347"/>
    </row>
    <row r="348" spans="1:19" x14ac:dyDescent="0.2">
      <c r="A348" s="893"/>
      <c r="B348" s="869"/>
      <c r="C348" s="832"/>
      <c r="D348" s="832"/>
      <c r="E348" s="149" t="s">
        <v>396</v>
      </c>
      <c r="F348" s="145" t="s">
        <v>397</v>
      </c>
      <c r="G348" s="58">
        <v>0.48</v>
      </c>
      <c r="H348" s="58" t="s">
        <v>568</v>
      </c>
      <c r="I348" s="58" t="s">
        <v>524</v>
      </c>
      <c r="J348" s="433">
        <f>IF(H348="Pa",G348,IF(H348="log-Pa",10^G348,IF(H348="mm Hg",G348*133.322,0)))</f>
        <v>3.0199517204020165</v>
      </c>
      <c r="K348" s="178">
        <f>IF(H348="Pa",LOG(G348),IF(H348="log-Pa",G348,IF(H348="mm Hg",LOG(G348*133.322),0)))</f>
        <v>0.48</v>
      </c>
      <c r="L348" s="433">
        <f>IF(H348="Pa",G348/133.322,IF(H348="log-Pa",(10^G348)/133.322,IF(H348="mm Hg",G348,0)))</f>
        <v>2.2651563285894426E-2</v>
      </c>
      <c r="M348" s="58">
        <v>25</v>
      </c>
      <c r="N348" s="30" t="s">
        <v>55</v>
      </c>
      <c r="O348" s="100">
        <f>VLOOKUP(N348,References!$B$7:$F$252,5,FALSE)</f>
        <v>150</v>
      </c>
      <c r="S348"/>
    </row>
    <row r="349" spans="1:19" x14ac:dyDescent="0.2">
      <c r="A349" s="893"/>
      <c r="B349" s="869"/>
      <c r="C349" s="832"/>
      <c r="D349" s="832"/>
      <c r="E349" s="149" t="s">
        <v>396</v>
      </c>
      <c r="F349" s="145" t="s">
        <v>397</v>
      </c>
      <c r="G349" s="58">
        <v>0.61</v>
      </c>
      <c r="H349" s="58" t="s">
        <v>568</v>
      </c>
      <c r="I349" s="58" t="s">
        <v>27</v>
      </c>
      <c r="J349" s="433">
        <f>IF(H349="Pa",G349,IF(H349="log-Pa",10^G349,IF(H349="mm Hg",G349*133.322,0)))</f>
        <v>4.0738027780411281</v>
      </c>
      <c r="K349" s="178">
        <f>IF(H349="Pa",LOG(G349),IF(H349="log-Pa",G349,IF(H349="mm Hg",LOG(G349*133.322),0)))</f>
        <v>0.61</v>
      </c>
      <c r="L349" s="433">
        <f>IF(H349="Pa",G349/133.322,IF(H349="log-Pa",(10^G349)/133.322,IF(H349="mm Hg",G349,0)))</f>
        <v>3.0556118105347415E-2</v>
      </c>
      <c r="M349" s="58">
        <v>25</v>
      </c>
      <c r="N349" s="30" t="s">
        <v>55</v>
      </c>
      <c r="O349" s="100">
        <f>VLOOKUP(N349,References!$B$7:$F$252,5,FALSE)</f>
        <v>150</v>
      </c>
      <c r="S349"/>
    </row>
    <row r="350" spans="1:19" x14ac:dyDescent="0.2">
      <c r="A350" s="893"/>
      <c r="B350" s="869"/>
      <c r="C350" s="832"/>
      <c r="D350" s="832"/>
      <c r="E350" s="149" t="s">
        <v>396</v>
      </c>
      <c r="F350" s="145" t="s">
        <v>397</v>
      </c>
      <c r="G350" s="58">
        <v>0.23200000000000001</v>
      </c>
      <c r="H350" s="58" t="s">
        <v>564</v>
      </c>
      <c r="I350" s="58" t="s">
        <v>512</v>
      </c>
      <c r="J350" s="433">
        <f t="shared" si="123"/>
        <v>30.930704000000002</v>
      </c>
      <c r="K350" s="178">
        <f t="shared" si="124"/>
        <v>1.4903898048992601</v>
      </c>
      <c r="L350" s="433">
        <f t="shared" si="125"/>
        <v>0.23200000000000001</v>
      </c>
      <c r="M350" s="58" t="s">
        <v>33</v>
      </c>
      <c r="N350" s="30" t="s">
        <v>511</v>
      </c>
      <c r="O350" s="100">
        <f>VLOOKUP(N350,References!$B$7:$F$252,5,FALSE)</f>
        <v>36</v>
      </c>
      <c r="S350"/>
    </row>
    <row r="351" spans="1:19" x14ac:dyDescent="0.2">
      <c r="A351" s="893"/>
      <c r="B351" s="869"/>
      <c r="C351" s="832"/>
      <c r="D351" s="832"/>
      <c r="E351" s="149" t="s">
        <v>396</v>
      </c>
      <c r="F351" s="145" t="s">
        <v>397</v>
      </c>
      <c r="G351" s="58">
        <v>0.17</v>
      </c>
      <c r="H351" s="58" t="s">
        <v>564</v>
      </c>
      <c r="I351" s="58" t="s">
        <v>514</v>
      </c>
      <c r="J351" s="433">
        <f t="shared" si="123"/>
        <v>22.664740000000002</v>
      </c>
      <c r="K351" s="178">
        <f t="shared" si="124"/>
        <v>1.3553507413866344</v>
      </c>
      <c r="L351" s="433">
        <f t="shared" si="125"/>
        <v>0.17</v>
      </c>
      <c r="M351" s="58" t="s">
        <v>33</v>
      </c>
      <c r="N351" s="30" t="s">
        <v>511</v>
      </c>
      <c r="O351" s="100">
        <f>VLOOKUP(N351,References!$B$7:$F$252,5,FALSE)</f>
        <v>36</v>
      </c>
      <c r="S351"/>
    </row>
    <row r="352" spans="1:19" x14ac:dyDescent="0.2">
      <c r="A352" s="893"/>
      <c r="B352" s="869"/>
      <c r="C352" s="832"/>
      <c r="D352" s="834"/>
      <c r="E352" s="182" t="s">
        <v>396</v>
      </c>
      <c r="F352" s="239" t="s">
        <v>397</v>
      </c>
      <c r="G352" s="59">
        <v>0.20699999999999999</v>
      </c>
      <c r="H352" s="59" t="s">
        <v>564</v>
      </c>
      <c r="I352" s="59" t="s">
        <v>515</v>
      </c>
      <c r="J352" s="469">
        <f t="shared" si="123"/>
        <v>27.597653999999999</v>
      </c>
      <c r="K352" s="183">
        <f t="shared" si="124"/>
        <v>1.4408721654652781</v>
      </c>
      <c r="L352" s="469">
        <f t="shared" si="125"/>
        <v>0.20699999999999999</v>
      </c>
      <c r="M352" s="59" t="s">
        <v>33</v>
      </c>
      <c r="N352" s="37" t="s">
        <v>511</v>
      </c>
      <c r="O352" s="122">
        <f>VLOOKUP(N352,References!$B$7:$F$252,5,FALSE)</f>
        <v>36</v>
      </c>
      <c r="S352"/>
    </row>
    <row r="353" spans="1:19" x14ac:dyDescent="0.2">
      <c r="A353" s="892" t="s">
        <v>406</v>
      </c>
      <c r="B353" s="850" t="s">
        <v>407</v>
      </c>
      <c r="C353" s="833">
        <v>564.1</v>
      </c>
      <c r="D353" s="832" t="s">
        <v>408</v>
      </c>
      <c r="E353" s="149" t="s">
        <v>407</v>
      </c>
      <c r="F353" s="145" t="s">
        <v>408</v>
      </c>
      <c r="G353" s="58">
        <v>53</v>
      </c>
      <c r="H353" s="58" t="s">
        <v>562</v>
      </c>
      <c r="I353" s="58" t="s">
        <v>27</v>
      </c>
      <c r="J353" s="433">
        <f t="shared" ref="J353:J360" si="129">IF(H353="Pa",G353,IF(H353="log-Pa",10^G353,IF(H353="mm Hg",G353*133.322,0)))</f>
        <v>53</v>
      </c>
      <c r="K353" s="178">
        <f t="shared" ref="K353:K360" si="130">IF(H353="Pa",LOG(G353),IF(H353="log-Pa",G353,IF(H353="mm Hg",LOG(G353*133.322),0)))</f>
        <v>1.7242758696007889</v>
      </c>
      <c r="L353" s="433">
        <f t="shared" ref="L353:L360" si="131">IF(H353="Pa",G353/133.322,IF(H353="log-Pa",(10^G353)/133.322,IF(H353="mm Hg",G353,0)))</f>
        <v>0.39753379037218162</v>
      </c>
      <c r="M353" s="58">
        <v>25</v>
      </c>
      <c r="N353" s="30" t="s">
        <v>576</v>
      </c>
      <c r="O353" s="100">
        <f>VLOOKUP(N353,References!$B$7:$F$252,5,FALSE)</f>
        <v>73</v>
      </c>
      <c r="S353"/>
    </row>
    <row r="354" spans="1:19" x14ac:dyDescent="0.2">
      <c r="A354" s="893"/>
      <c r="B354" s="869"/>
      <c r="C354" s="832"/>
      <c r="D354" s="832"/>
      <c r="E354" s="149" t="s">
        <v>407</v>
      </c>
      <c r="F354" s="145" t="s">
        <v>408</v>
      </c>
      <c r="G354" s="58">
        <v>144</v>
      </c>
      <c r="H354" s="58" t="s">
        <v>562</v>
      </c>
      <c r="I354" s="58" t="s">
        <v>27</v>
      </c>
      <c r="J354" s="433">
        <f t="shared" si="129"/>
        <v>144</v>
      </c>
      <c r="K354" s="178">
        <f t="shared" si="130"/>
        <v>2.1583624920952498</v>
      </c>
      <c r="L354" s="433">
        <f t="shared" si="131"/>
        <v>1.0800918078036632</v>
      </c>
      <c r="M354" s="58">
        <v>25</v>
      </c>
      <c r="N354" s="30" t="s">
        <v>578</v>
      </c>
      <c r="O354" s="100">
        <f>VLOOKUP(N354,References!$B$7:$F$252,5,FALSE)</f>
        <v>121</v>
      </c>
      <c r="S354"/>
    </row>
    <row r="355" spans="1:19" x14ac:dyDescent="0.2">
      <c r="A355" s="893"/>
      <c r="B355" s="869"/>
      <c r="C355" s="832"/>
      <c r="D355" s="832"/>
      <c r="E355" s="149" t="s">
        <v>407</v>
      </c>
      <c r="F355" s="145" t="s">
        <v>408</v>
      </c>
      <c r="G355" s="58">
        <v>0.2</v>
      </c>
      <c r="H355" s="58" t="s">
        <v>562</v>
      </c>
      <c r="I355" s="58" t="s">
        <v>27</v>
      </c>
      <c r="J355" s="433">
        <f t="shared" si="129"/>
        <v>0.2</v>
      </c>
      <c r="K355" s="178">
        <f t="shared" si="130"/>
        <v>-0.69897000433601875</v>
      </c>
      <c r="L355" s="433">
        <f t="shared" si="131"/>
        <v>1.5001275108384212E-3</v>
      </c>
      <c r="M355" s="58">
        <v>25</v>
      </c>
      <c r="N355" s="30" t="s">
        <v>382</v>
      </c>
      <c r="O355" s="100">
        <f>VLOOKUP(N355,References!$B$7:$F$252,5,FALSE)</f>
        <v>64</v>
      </c>
      <c r="S355"/>
    </row>
    <row r="356" spans="1:19" x14ac:dyDescent="0.2">
      <c r="A356" s="893"/>
      <c r="B356" s="869"/>
      <c r="C356" s="832"/>
      <c r="D356" s="832"/>
      <c r="E356" s="149" t="s">
        <v>407</v>
      </c>
      <c r="F356" s="145" t="s">
        <v>408</v>
      </c>
      <c r="G356" s="58">
        <v>-0.69</v>
      </c>
      <c r="H356" s="58" t="s">
        <v>568</v>
      </c>
      <c r="I356" s="58" t="s">
        <v>27</v>
      </c>
      <c r="J356" s="433">
        <f t="shared" si="129"/>
        <v>0.20417379446695291</v>
      </c>
      <c r="K356" s="178">
        <f t="shared" si="130"/>
        <v>-0.69</v>
      </c>
      <c r="L356" s="433">
        <f t="shared" si="131"/>
        <v>1.5314336303607274E-3</v>
      </c>
      <c r="M356" s="58">
        <v>25</v>
      </c>
      <c r="N356" s="30" t="s">
        <v>570</v>
      </c>
      <c r="O356" s="100">
        <f>VLOOKUP(N356,References!$B$7:$F$252,5,FALSE)</f>
        <v>9</v>
      </c>
      <c r="S356"/>
    </row>
    <row r="357" spans="1:19" x14ac:dyDescent="0.2">
      <c r="A357" s="893"/>
      <c r="B357" s="869"/>
      <c r="C357" s="832"/>
      <c r="D357" s="832"/>
      <c r="E357" s="149" t="s">
        <v>407</v>
      </c>
      <c r="F357" s="145" t="s">
        <v>408</v>
      </c>
      <c r="G357" s="58">
        <v>-0.49</v>
      </c>
      <c r="H357" s="58" t="s">
        <v>568</v>
      </c>
      <c r="I357" s="58" t="s">
        <v>522</v>
      </c>
      <c r="J357" s="433">
        <f t="shared" si="129"/>
        <v>0.32359365692962827</v>
      </c>
      <c r="K357" s="178">
        <f t="shared" si="130"/>
        <v>-0.49</v>
      </c>
      <c r="L357" s="433">
        <f t="shared" si="131"/>
        <v>2.4271587354647265E-3</v>
      </c>
      <c r="M357" s="58">
        <v>25</v>
      </c>
      <c r="N357" s="30" t="s">
        <v>570</v>
      </c>
      <c r="O357" s="100">
        <f>VLOOKUP(N357,References!$B$7:$F$252,5,FALSE)</f>
        <v>9</v>
      </c>
      <c r="S357"/>
    </row>
    <row r="358" spans="1:19" x14ac:dyDescent="0.2">
      <c r="A358" s="893"/>
      <c r="B358" s="869"/>
      <c r="C358" s="832"/>
      <c r="D358" s="832"/>
      <c r="E358" s="149" t="s">
        <v>407</v>
      </c>
      <c r="F358" s="145" t="s">
        <v>408</v>
      </c>
      <c r="G358" s="58">
        <v>-1.86</v>
      </c>
      <c r="H358" s="58" t="s">
        <v>568</v>
      </c>
      <c r="I358" s="58" t="s">
        <v>571</v>
      </c>
      <c r="J358" s="433">
        <f t="shared" si="129"/>
        <v>1.3803842646028837E-2</v>
      </c>
      <c r="K358" s="178">
        <f t="shared" si="130"/>
        <v>-1.86</v>
      </c>
      <c r="L358" s="433">
        <f t="shared" si="131"/>
        <v>1.0353762054296243E-4</v>
      </c>
      <c r="M358" s="58">
        <v>25</v>
      </c>
      <c r="N358" s="30" t="s">
        <v>570</v>
      </c>
      <c r="O358" s="100">
        <f>VLOOKUP(N358,References!$B$7:$F$252,5,FALSE)</f>
        <v>9</v>
      </c>
      <c r="S358"/>
    </row>
    <row r="359" spans="1:19" x14ac:dyDescent="0.2">
      <c r="A359" s="893"/>
      <c r="B359" s="869"/>
      <c r="C359" s="832"/>
      <c r="D359" s="832"/>
      <c r="E359" s="149" t="s">
        <v>407</v>
      </c>
      <c r="F359" s="145" t="s">
        <v>408</v>
      </c>
      <c r="G359" s="58">
        <v>-0.62</v>
      </c>
      <c r="H359" s="58" t="s">
        <v>568</v>
      </c>
      <c r="I359" s="58" t="s">
        <v>571</v>
      </c>
      <c r="J359" s="433">
        <f t="shared" si="129"/>
        <v>0.23988329190194901</v>
      </c>
      <c r="K359" s="178">
        <f t="shared" si="130"/>
        <v>-0.62</v>
      </c>
      <c r="L359" s="433">
        <f t="shared" si="131"/>
        <v>1.7992776278629859E-3</v>
      </c>
      <c r="M359" s="58">
        <v>25</v>
      </c>
      <c r="N359" s="30" t="s">
        <v>570</v>
      </c>
      <c r="O359" s="100">
        <f>VLOOKUP(N359,References!$B$7:$F$252,5,FALSE)</f>
        <v>9</v>
      </c>
      <c r="S359"/>
    </row>
    <row r="360" spans="1:19" x14ac:dyDescent="0.2">
      <c r="A360" s="893"/>
      <c r="B360" s="869"/>
      <c r="C360" s="832"/>
      <c r="D360" s="832"/>
      <c r="E360" s="149" t="s">
        <v>407</v>
      </c>
      <c r="F360" s="145" t="s">
        <v>408</v>
      </c>
      <c r="G360" s="58">
        <v>-0.84</v>
      </c>
      <c r="H360" s="58" t="s">
        <v>568</v>
      </c>
      <c r="I360" s="58" t="s">
        <v>513</v>
      </c>
      <c r="J360" s="433">
        <f t="shared" si="129"/>
        <v>0.14454397707459271</v>
      </c>
      <c r="K360" s="178">
        <f t="shared" si="130"/>
        <v>-0.84</v>
      </c>
      <c r="L360" s="433">
        <f t="shared" si="131"/>
        <v>1.0841719826779729E-3</v>
      </c>
      <c r="M360" s="58">
        <v>25</v>
      </c>
      <c r="N360" s="30" t="s">
        <v>570</v>
      </c>
      <c r="O360" s="100">
        <f>VLOOKUP(N360,References!$B$7:$F$252,5,FALSE)</f>
        <v>9</v>
      </c>
      <c r="S360"/>
    </row>
    <row r="361" spans="1:19" x14ac:dyDescent="0.2">
      <c r="A361" s="893"/>
      <c r="B361" s="869"/>
      <c r="C361" s="832"/>
      <c r="D361" s="832"/>
      <c r="E361" s="149" t="s">
        <v>407</v>
      </c>
      <c r="F361" s="145" t="s">
        <v>408</v>
      </c>
      <c r="G361" s="58">
        <v>-0.74</v>
      </c>
      <c r="H361" s="58" t="s">
        <v>568</v>
      </c>
      <c r="I361" s="58" t="s">
        <v>27</v>
      </c>
      <c r="J361" s="433">
        <f t="shared" si="123"/>
        <v>0.18197008586099833</v>
      </c>
      <c r="K361" s="178">
        <f t="shared" si="124"/>
        <v>-0.74</v>
      </c>
      <c r="L361" s="433">
        <f t="shared" si="125"/>
        <v>1.3648916597485661E-3</v>
      </c>
      <c r="M361" s="58">
        <v>25</v>
      </c>
      <c r="N361" s="30" t="s">
        <v>520</v>
      </c>
      <c r="O361" s="100">
        <f>VLOOKUP(N361,References!$B$7:$F$252,5,FALSE)</f>
        <v>14</v>
      </c>
      <c r="S361"/>
    </row>
    <row r="362" spans="1:19" x14ac:dyDescent="0.2">
      <c r="A362" s="893"/>
      <c r="B362" s="869"/>
      <c r="C362" s="832"/>
      <c r="D362" s="832"/>
      <c r="E362" s="149" t="s">
        <v>407</v>
      </c>
      <c r="F362" s="145" t="s">
        <v>408</v>
      </c>
      <c r="G362" s="58">
        <v>-0.88</v>
      </c>
      <c r="H362" s="58" t="s">
        <v>568</v>
      </c>
      <c r="I362" s="58" t="s">
        <v>519</v>
      </c>
      <c r="J362" s="433">
        <f t="shared" si="123"/>
        <v>0.1318256738556407</v>
      </c>
      <c r="K362" s="178">
        <f t="shared" si="124"/>
        <v>-0.88</v>
      </c>
      <c r="L362" s="433">
        <f t="shared" si="125"/>
        <v>9.8877659992829912E-4</v>
      </c>
      <c r="M362" s="58">
        <v>25</v>
      </c>
      <c r="N362" s="30" t="s">
        <v>520</v>
      </c>
      <c r="O362" s="100">
        <f>VLOOKUP(N362,References!$B$7:$F$252,5,FALSE)</f>
        <v>14</v>
      </c>
      <c r="S362"/>
    </row>
    <row r="363" spans="1:19" x14ac:dyDescent="0.2">
      <c r="A363" s="893"/>
      <c r="B363" s="869"/>
      <c r="C363" s="832"/>
      <c r="D363" s="832"/>
      <c r="E363" s="149" t="s">
        <v>407</v>
      </c>
      <c r="F363" s="145" t="s">
        <v>408</v>
      </c>
      <c r="G363" s="58">
        <v>-0.26</v>
      </c>
      <c r="H363" s="58" t="s">
        <v>568</v>
      </c>
      <c r="I363" s="58" t="s">
        <v>522</v>
      </c>
      <c r="J363" s="433">
        <f>IF(H363="Pa",G363,IF(H363="log-Pa",10^G363,IF(H363="mm Hg",G363*133.322,0)))</f>
        <v>0.54954087385762451</v>
      </c>
      <c r="K363" s="178">
        <f>IF(H363="Pa",LOG(G363),IF(H363="log-Pa",G363,IF(H363="mm Hg",LOG(G363*133.322),0)))</f>
        <v>-0.26</v>
      </c>
      <c r="L363" s="433">
        <f>IF(H363="Pa",G363/133.322,IF(H363="log-Pa",(10^G363)/133.322,IF(H363="mm Hg",G363,0)))</f>
        <v>4.1219069160200452E-3</v>
      </c>
      <c r="M363" s="58" t="s">
        <v>33</v>
      </c>
      <c r="N363" s="30" t="s">
        <v>523</v>
      </c>
      <c r="O363" s="100">
        <f>VLOOKUP(N363,References!$B$7:$F$252,5,FALSE)</f>
        <v>127</v>
      </c>
      <c r="S363"/>
    </row>
    <row r="364" spans="1:19" x14ac:dyDescent="0.2">
      <c r="A364" s="893"/>
      <c r="B364" s="869"/>
      <c r="C364" s="832"/>
      <c r="D364" s="832"/>
      <c r="E364" s="149" t="s">
        <v>407</v>
      </c>
      <c r="F364" s="145" t="s">
        <v>408</v>
      </c>
      <c r="G364" s="58">
        <v>0.69</v>
      </c>
      <c r="H364" s="58" t="s">
        <v>568</v>
      </c>
      <c r="I364" s="58" t="s">
        <v>524</v>
      </c>
      <c r="J364" s="433">
        <f t="shared" si="123"/>
        <v>4.8977881936844625</v>
      </c>
      <c r="K364" s="178">
        <f t="shared" si="124"/>
        <v>0.69</v>
      </c>
      <c r="L364" s="433">
        <f t="shared" si="125"/>
        <v>3.6736534058028403E-2</v>
      </c>
      <c r="M364" s="58">
        <v>25</v>
      </c>
      <c r="N364" s="30" t="s">
        <v>525</v>
      </c>
      <c r="O364" s="100">
        <f>VLOOKUP(N364,References!$B$7:$F$252,5,FALSE)</f>
        <v>61</v>
      </c>
      <c r="S364"/>
    </row>
    <row r="365" spans="1:19" x14ac:dyDescent="0.2">
      <c r="A365" s="893"/>
      <c r="B365" s="869"/>
      <c r="C365" s="832"/>
      <c r="D365" s="832"/>
      <c r="E365" s="149" t="s">
        <v>407</v>
      </c>
      <c r="F365" s="145" t="s">
        <v>408</v>
      </c>
      <c r="G365" s="350">
        <v>-0.9</v>
      </c>
      <c r="H365" s="58" t="s">
        <v>568</v>
      </c>
      <c r="I365" s="58" t="s">
        <v>524</v>
      </c>
      <c r="J365" s="433">
        <f t="shared" ref="J365:J366" si="132">IF(H365="Pa",G365,IF(H365="log-Pa",10^G365,IF(H365="mm Hg",G365*133.322,0)))</f>
        <v>0.12589254117941667</v>
      </c>
      <c r="K365" s="178">
        <f t="shared" ref="K365:K366" si="133">IF(H365="Pa",LOG(G365),IF(H365="log-Pa",G365,IF(H365="mm Hg",LOG(G365*133.322),0)))</f>
        <v>-0.9</v>
      </c>
      <c r="L365" s="433">
        <f t="shared" ref="L365:L366" si="134">IF(H365="Pa",G365/133.322,IF(H365="log-Pa",(10^G365)/133.322,IF(H365="mm Hg",G365,0)))</f>
        <v>9.4427432216300888E-4</v>
      </c>
      <c r="M365" s="58">
        <v>25</v>
      </c>
      <c r="N365" s="30" t="s">
        <v>55</v>
      </c>
      <c r="O365" s="100">
        <f>VLOOKUP(N365,References!$B$7:$F$252,5,FALSE)</f>
        <v>150</v>
      </c>
      <c r="S365"/>
    </row>
    <row r="366" spans="1:19" x14ac:dyDescent="0.2">
      <c r="A366" s="893"/>
      <c r="B366" s="869"/>
      <c r="C366" s="832"/>
      <c r="D366" s="832"/>
      <c r="E366" s="149" t="s">
        <v>407</v>
      </c>
      <c r="F366" s="145" t="s">
        <v>408</v>
      </c>
      <c r="G366" s="350">
        <v>-0.35</v>
      </c>
      <c r="H366" s="58" t="s">
        <v>568</v>
      </c>
      <c r="I366" s="58" t="s">
        <v>27</v>
      </c>
      <c r="J366" s="433">
        <f t="shared" si="132"/>
        <v>0.44668359215096315</v>
      </c>
      <c r="K366" s="178">
        <f t="shared" si="133"/>
        <v>-0.35</v>
      </c>
      <c r="L366" s="433">
        <f t="shared" si="134"/>
        <v>3.3504117261289445E-3</v>
      </c>
      <c r="M366" s="58">
        <v>25</v>
      </c>
      <c r="N366" s="30" t="s">
        <v>55</v>
      </c>
      <c r="O366" s="100">
        <f>VLOOKUP(N366,References!$B$7:$F$252,5,FALSE)</f>
        <v>150</v>
      </c>
      <c r="S366"/>
    </row>
    <row r="367" spans="1:19" x14ac:dyDescent="0.2">
      <c r="A367" s="893"/>
      <c r="B367" s="869"/>
      <c r="C367" s="832"/>
      <c r="D367" s="832"/>
      <c r="E367" s="149" t="s">
        <v>407</v>
      </c>
      <c r="F367" s="145" t="s">
        <v>408</v>
      </c>
      <c r="G367" s="354">
        <v>6.1899999999999997E-2</v>
      </c>
      <c r="H367" s="58" t="s">
        <v>564</v>
      </c>
      <c r="I367" s="58" t="s">
        <v>512</v>
      </c>
      <c r="J367" s="433">
        <f t="shared" si="123"/>
        <v>8.2526317999999996</v>
      </c>
      <c r="K367" s="178">
        <f t="shared" si="124"/>
        <v>0.91659246902847846</v>
      </c>
      <c r="L367" s="433">
        <f t="shared" si="125"/>
        <v>6.1899999999999997E-2</v>
      </c>
      <c r="M367" s="58" t="s">
        <v>33</v>
      </c>
      <c r="N367" s="30" t="s">
        <v>511</v>
      </c>
      <c r="O367" s="100">
        <f>VLOOKUP(N367,References!$B$7:$F$252,5,FALSE)</f>
        <v>36</v>
      </c>
      <c r="S367"/>
    </row>
    <row r="368" spans="1:19" x14ac:dyDescent="0.2">
      <c r="A368" s="893"/>
      <c r="B368" s="869"/>
      <c r="C368" s="832"/>
      <c r="D368" s="832"/>
      <c r="E368" s="149" t="s">
        <v>407</v>
      </c>
      <c r="F368" s="145" t="s">
        <v>408</v>
      </c>
      <c r="G368" s="354">
        <v>2.0799999999999999E-2</v>
      </c>
      <c r="H368" s="58" t="s">
        <v>564</v>
      </c>
      <c r="I368" s="58" t="s">
        <v>514</v>
      </c>
      <c r="J368" s="433">
        <f t="shared" si="123"/>
        <v>2.7730975999999998</v>
      </c>
      <c r="K368" s="178">
        <f t="shared" si="124"/>
        <v>0.44296515497112199</v>
      </c>
      <c r="L368" s="433">
        <f t="shared" si="125"/>
        <v>2.0799999999999999E-2</v>
      </c>
      <c r="M368" s="58" t="s">
        <v>33</v>
      </c>
      <c r="N368" s="30" t="s">
        <v>511</v>
      </c>
      <c r="O368" s="100">
        <f>VLOOKUP(N368,References!$B$7:$F$252,5,FALSE)</f>
        <v>36</v>
      </c>
      <c r="S368"/>
    </row>
    <row r="369" spans="1:19" x14ac:dyDescent="0.2">
      <c r="A369" s="893"/>
      <c r="B369" s="869"/>
      <c r="C369" s="832"/>
      <c r="D369" s="832"/>
      <c r="E369" s="149" t="s">
        <v>407</v>
      </c>
      <c r="F369" s="145" t="s">
        <v>408</v>
      </c>
      <c r="G369" s="354">
        <v>5.45E-2</v>
      </c>
      <c r="H369" s="58" t="s">
        <v>564</v>
      </c>
      <c r="I369" s="58" t="s">
        <v>515</v>
      </c>
      <c r="J369" s="433">
        <f t="shared" si="123"/>
        <v>7.2660489999999998</v>
      </c>
      <c r="K369" s="178">
        <f t="shared" si="124"/>
        <v>0.86129832228500292</v>
      </c>
      <c r="L369" s="433">
        <f t="shared" si="125"/>
        <v>5.45E-2</v>
      </c>
      <c r="M369" s="58" t="s">
        <v>33</v>
      </c>
      <c r="N369" s="30" t="s">
        <v>511</v>
      </c>
      <c r="O369" s="100">
        <f>VLOOKUP(N369,References!$B$7:$F$252,5,FALSE)</f>
        <v>36</v>
      </c>
      <c r="S369"/>
    </row>
    <row r="370" spans="1:19" x14ac:dyDescent="0.2">
      <c r="A370" s="237" t="s">
        <v>415</v>
      </c>
      <c r="B370" s="129" t="s">
        <v>416</v>
      </c>
      <c r="C370" s="81"/>
      <c r="D370" s="81"/>
      <c r="E370" s="81"/>
      <c r="F370" s="81"/>
      <c r="G370" s="329"/>
      <c r="H370" s="81"/>
      <c r="I370" s="81"/>
      <c r="J370" s="594"/>
      <c r="K370" s="249"/>
      <c r="L370" s="594"/>
      <c r="M370" s="81"/>
      <c r="N370" s="81"/>
      <c r="O370" s="96"/>
      <c r="S370"/>
    </row>
    <row r="371" spans="1:19" s="2" customFormat="1" ht="15" x14ac:dyDescent="0.2">
      <c r="A371" s="883" t="s">
        <v>417</v>
      </c>
      <c r="B371" s="831" t="s">
        <v>418</v>
      </c>
      <c r="C371" s="831">
        <v>180.03</v>
      </c>
      <c r="D371" s="831" t="s">
        <v>419</v>
      </c>
      <c r="E371" s="135" t="s">
        <v>418</v>
      </c>
      <c r="F371" s="135" t="s">
        <v>419</v>
      </c>
      <c r="G371" s="156">
        <v>3.09</v>
      </c>
      <c r="H371" s="135" t="s">
        <v>564</v>
      </c>
      <c r="I371" s="135" t="s">
        <v>515</v>
      </c>
      <c r="J371" s="603">
        <f t="shared" ref="J371:J373" si="135">IF(H371="Pa",G371,IF(H371="log-Pa",10^G371,IF(H371="mm Hg",G371*133.322,0)))</f>
        <v>411.96497999999997</v>
      </c>
      <c r="K371" s="323">
        <f t="shared" ref="K371:K373" si="136">IF(H371="Pa",LOG(G371),IF(H371="log-Pa",G371,IF(H371="mm Hg",LOG(G371*133.322),0)))</f>
        <v>2.6148602994331949</v>
      </c>
      <c r="L371" s="603">
        <f t="shared" ref="L371:L373" si="137">IF(H371="Pa",G371/133.322,IF(H371="log-Pa",(10^G371)/133.322,IF(H371="mm Hg",G371,0)))</f>
        <v>3.09</v>
      </c>
      <c r="M371" s="135" t="s">
        <v>33</v>
      </c>
      <c r="N371" s="201" t="s">
        <v>511</v>
      </c>
      <c r="O371" s="99">
        <f>VLOOKUP(N371,References!$B$7:$F$252,5,FALSE)</f>
        <v>36</v>
      </c>
      <c r="P371" s="30"/>
      <c r="Q371" s="30"/>
    </row>
    <row r="372" spans="1:19" s="2" customFormat="1" ht="15" x14ac:dyDescent="0.2">
      <c r="A372" s="853"/>
      <c r="B372" s="832"/>
      <c r="C372" s="832"/>
      <c r="D372" s="832"/>
      <c r="E372" s="58" t="s">
        <v>418</v>
      </c>
      <c r="F372" s="58" t="s">
        <v>419</v>
      </c>
      <c r="G372" s="145">
        <v>6.55</v>
      </c>
      <c r="H372" s="58" t="s">
        <v>564</v>
      </c>
      <c r="I372" s="58" t="s">
        <v>512</v>
      </c>
      <c r="J372" s="433">
        <f t="shared" si="135"/>
        <v>873.25909999999999</v>
      </c>
      <c r="K372" s="178">
        <f t="shared" si="136"/>
        <v>2.9411431200001434</v>
      </c>
      <c r="L372" s="433">
        <f t="shared" si="137"/>
        <v>6.55</v>
      </c>
      <c r="M372" s="58" t="s">
        <v>33</v>
      </c>
      <c r="N372" s="30" t="s">
        <v>511</v>
      </c>
      <c r="O372" s="100">
        <f>VLOOKUP(N372,References!$B$7:$F$252,5,FALSE)</f>
        <v>36</v>
      </c>
      <c r="P372" s="30"/>
      <c r="Q372" s="30"/>
    </row>
    <row r="373" spans="1:19" s="2" customFormat="1" ht="15" x14ac:dyDescent="0.2">
      <c r="A373" s="854"/>
      <c r="B373" s="834"/>
      <c r="C373" s="834"/>
      <c r="D373" s="834"/>
      <c r="E373" s="59" t="s">
        <v>418</v>
      </c>
      <c r="F373" s="59" t="s">
        <v>419</v>
      </c>
      <c r="G373" s="239">
        <v>13.4</v>
      </c>
      <c r="H373" s="59" t="s">
        <v>564</v>
      </c>
      <c r="I373" s="59" t="s">
        <v>514</v>
      </c>
      <c r="J373" s="469">
        <f t="shared" si="135"/>
        <v>1786.5148000000002</v>
      </c>
      <c r="K373" s="183">
        <f t="shared" si="136"/>
        <v>3.252006618373168</v>
      </c>
      <c r="L373" s="469">
        <f t="shared" si="137"/>
        <v>13.4</v>
      </c>
      <c r="M373" s="59" t="s">
        <v>33</v>
      </c>
      <c r="N373" s="37" t="s">
        <v>511</v>
      </c>
      <c r="O373" s="122">
        <f>VLOOKUP(N373,References!$B$7:$F$252,5,FALSE)</f>
        <v>36</v>
      </c>
      <c r="P373" s="30"/>
      <c r="Q373" s="30"/>
    </row>
    <row r="374" spans="1:19" ht="18" x14ac:dyDescent="0.2">
      <c r="A374" s="868" t="s">
        <v>423</v>
      </c>
      <c r="B374" s="869" t="s">
        <v>541</v>
      </c>
      <c r="C374" s="832">
        <v>330.19</v>
      </c>
      <c r="D374" s="832" t="s">
        <v>426</v>
      </c>
      <c r="E374" s="149" t="s">
        <v>541</v>
      </c>
      <c r="F374" s="145" t="s">
        <v>426</v>
      </c>
      <c r="G374" s="58">
        <v>2.59</v>
      </c>
      <c r="H374" s="58" t="s">
        <v>568</v>
      </c>
      <c r="I374" s="58" t="s">
        <v>522</v>
      </c>
      <c r="J374" s="433">
        <f t="shared" ref="J374:J392" si="138">IF(H374="Pa",G374,IF(H374="log-Pa",10^G374,IF(H374="mm Hg",G374*133.322,0)))</f>
        <v>389.04514499428063</v>
      </c>
      <c r="K374" s="178">
        <f t="shared" ref="K374:K392" si="139">IF(H374="Pa",LOG(G374),IF(H374="log-Pa",G374,IF(H374="mm Hg",LOG(G374*133.322),0)))</f>
        <v>2.59</v>
      </c>
      <c r="L374" s="433">
        <f t="shared" ref="L374:L392" si="140">IF(H374="Pa",G374/133.322,IF(H374="log-Pa",(10^G374)/133.322,IF(H374="mm Hg",G374,0)))</f>
        <v>2.9180866248202144</v>
      </c>
      <c r="M374" s="58" t="s">
        <v>33</v>
      </c>
      <c r="N374" s="30" t="s">
        <v>533</v>
      </c>
      <c r="O374" s="100">
        <f>VLOOKUP(N374,References!$B$7:$F$252,5,FALSE)</f>
        <v>40</v>
      </c>
      <c r="S374"/>
    </row>
    <row r="375" spans="1:19" ht="18" x14ac:dyDescent="0.2">
      <c r="A375" s="868"/>
      <c r="B375" s="869"/>
      <c r="C375" s="832"/>
      <c r="D375" s="832"/>
      <c r="E375" s="149" t="s">
        <v>541</v>
      </c>
      <c r="F375" s="145" t="s">
        <v>426</v>
      </c>
      <c r="G375" s="58">
        <v>2.2949999999999999</v>
      </c>
      <c r="H375" s="58" t="s">
        <v>564</v>
      </c>
      <c r="I375" s="58" t="s">
        <v>27</v>
      </c>
      <c r="J375" s="433">
        <f t="shared" si="138"/>
        <v>305.97399000000001</v>
      </c>
      <c r="K375" s="178">
        <f t="shared" si="139"/>
        <v>2.4856845098816405</v>
      </c>
      <c r="L375" s="433">
        <f t="shared" si="140"/>
        <v>2.2949999999999999</v>
      </c>
      <c r="M375" s="58">
        <v>20</v>
      </c>
      <c r="N375" s="30" t="s">
        <v>47</v>
      </c>
      <c r="O375" s="100">
        <f>VLOOKUP(N375,References!$B$7:$F$252,5,FALSE)</f>
        <v>3</v>
      </c>
      <c r="S375"/>
    </row>
    <row r="376" spans="1:19" ht="17.25" customHeight="1" x14ac:dyDescent="0.2">
      <c r="A376" s="868"/>
      <c r="B376" s="869"/>
      <c r="C376" s="832"/>
      <c r="D376" s="832"/>
      <c r="E376" s="149" t="s">
        <v>541</v>
      </c>
      <c r="F376" s="145" t="s">
        <v>426</v>
      </c>
      <c r="G376" s="350">
        <v>0.28199999999999997</v>
      </c>
      <c r="H376" s="58" t="s">
        <v>564</v>
      </c>
      <c r="I376" s="58" t="s">
        <v>514</v>
      </c>
      <c r="J376" s="433">
        <f t="shared" si="138"/>
        <v>37.596803999999999</v>
      </c>
      <c r="K376" s="178">
        <f t="shared" si="139"/>
        <v>1.5751509283277216</v>
      </c>
      <c r="L376" s="433">
        <f t="shared" si="140"/>
        <v>0.28199999999999997</v>
      </c>
      <c r="M376" s="58" t="s">
        <v>33</v>
      </c>
      <c r="N376" s="30" t="s">
        <v>511</v>
      </c>
      <c r="O376" s="100">
        <f>VLOOKUP(N376,References!$B$7:$F$252,5,FALSE)</f>
        <v>36</v>
      </c>
      <c r="S376"/>
    </row>
    <row r="377" spans="1:19" ht="18" x14ac:dyDescent="0.2">
      <c r="A377" s="879"/>
      <c r="B377" s="851"/>
      <c r="C377" s="834"/>
      <c r="D377" s="834"/>
      <c r="E377" s="182" t="s">
        <v>541</v>
      </c>
      <c r="F377" s="239" t="s">
        <v>426</v>
      </c>
      <c r="G377" s="326">
        <v>0.24099999999999999</v>
      </c>
      <c r="H377" s="59" t="s">
        <v>564</v>
      </c>
      <c r="I377" s="59" t="s">
        <v>515</v>
      </c>
      <c r="J377" s="469">
        <f t="shared" si="138"/>
        <v>32.130601999999996</v>
      </c>
      <c r="K377" s="183">
        <f t="shared" si="139"/>
        <v>1.5069188625832288</v>
      </c>
      <c r="L377" s="469">
        <f t="shared" si="140"/>
        <v>0.24099999999999999</v>
      </c>
      <c r="M377" s="59" t="s">
        <v>33</v>
      </c>
      <c r="N377" s="37" t="s">
        <v>511</v>
      </c>
      <c r="O377" s="122">
        <f>VLOOKUP(N377,References!$B$7:$F$252,5,FALSE)</f>
        <v>36</v>
      </c>
      <c r="S377"/>
    </row>
    <row r="378" spans="1:19" s="2" customFormat="1" ht="15" x14ac:dyDescent="0.2">
      <c r="A378" s="839" t="s">
        <v>432</v>
      </c>
      <c r="B378" s="833" t="s">
        <v>542</v>
      </c>
      <c r="C378" s="833">
        <v>347.1</v>
      </c>
      <c r="D378" s="832" t="s">
        <v>435</v>
      </c>
      <c r="E378" s="145" t="s">
        <v>543</v>
      </c>
      <c r="F378" s="58" t="s">
        <v>435</v>
      </c>
      <c r="G378" s="350">
        <v>-1.49</v>
      </c>
      <c r="H378" s="58" t="s">
        <v>568</v>
      </c>
      <c r="I378" s="58" t="s">
        <v>524</v>
      </c>
      <c r="J378" s="433">
        <f t="shared" ref="J378" si="141">IF(H378="Pa",G378,IF(H378="log-Pa",10^G378,IF(H378="mm Hg",G378*133.322,0)))</f>
        <v>3.2359365692962813E-2</v>
      </c>
      <c r="K378" s="178">
        <f t="shared" ref="K378" si="142">IF(H378="Pa",LOG(G378),IF(H378="log-Pa",G378,IF(H378="mm Hg",LOG(G378*133.322),0)))</f>
        <v>-1.49</v>
      </c>
      <c r="L378" s="433">
        <f t="shared" ref="L378" si="143">IF(H378="Pa",G378/133.322,IF(H378="log-Pa",(10^G378)/133.322,IF(H378="mm Hg",G378,0)))</f>
        <v>2.4271587354647255E-4</v>
      </c>
      <c r="M378" s="178">
        <v>25</v>
      </c>
      <c r="N378" s="30" t="s">
        <v>55</v>
      </c>
      <c r="O378" s="121">
        <f>VLOOKUP(N378,References!$B$7:$F$252,5,FALSE)</f>
        <v>150</v>
      </c>
      <c r="P378" s="293"/>
      <c r="Q378" s="292"/>
      <c r="R378" s="58"/>
      <c r="S378" s="3"/>
    </row>
    <row r="379" spans="1:19" s="2" customFormat="1" ht="18" customHeight="1" x14ac:dyDescent="0.2">
      <c r="A379" s="838"/>
      <c r="B379" s="832"/>
      <c r="C379" s="832"/>
      <c r="D379" s="832"/>
      <c r="E379" s="145" t="s">
        <v>543</v>
      </c>
      <c r="F379" s="58" t="s">
        <v>435</v>
      </c>
      <c r="G379" s="58">
        <v>2910</v>
      </c>
      <c r="H379" s="58" t="s">
        <v>562</v>
      </c>
      <c r="I379" s="58" t="s">
        <v>27</v>
      </c>
      <c r="J379" s="433">
        <f t="shared" si="138"/>
        <v>2910</v>
      </c>
      <c r="K379" s="350">
        <f t="shared" si="139"/>
        <v>3.4638929889859074</v>
      </c>
      <c r="L379" s="433">
        <f t="shared" si="140"/>
        <v>21.826855282699029</v>
      </c>
      <c r="M379" s="178">
        <v>20</v>
      </c>
      <c r="N379" s="430" t="s">
        <v>436</v>
      </c>
      <c r="O379" s="100">
        <f>VLOOKUP(N379,References!$B$7:$F$252,5,FALSE)</f>
        <v>32</v>
      </c>
      <c r="P379" s="293"/>
      <c r="Q379" s="292"/>
      <c r="R379" s="58"/>
      <c r="S379" s="3"/>
    </row>
    <row r="380" spans="1:19" s="2" customFormat="1" ht="18" customHeight="1" x14ac:dyDescent="0.2">
      <c r="A380" s="838"/>
      <c r="B380" s="832"/>
      <c r="C380" s="832"/>
      <c r="D380" s="832"/>
      <c r="E380" s="145" t="s">
        <v>543</v>
      </c>
      <c r="F380" s="58" t="s">
        <v>435</v>
      </c>
      <c r="G380" s="350">
        <v>1.2E-2</v>
      </c>
      <c r="H380" s="58" t="s">
        <v>562</v>
      </c>
      <c r="I380" s="58" t="s">
        <v>27</v>
      </c>
      <c r="J380" s="433">
        <f t="shared" si="138"/>
        <v>1.2E-2</v>
      </c>
      <c r="K380" s="178">
        <f t="shared" si="139"/>
        <v>-1.9208187539523751</v>
      </c>
      <c r="L380" s="433">
        <f t="shared" si="140"/>
        <v>9.0007650650305275E-5</v>
      </c>
      <c r="M380" s="178">
        <v>20</v>
      </c>
      <c r="N380" s="430" t="s">
        <v>436</v>
      </c>
      <c r="O380" s="100">
        <f>VLOOKUP(N380,References!$B$7:$F$252,5,FALSE)</f>
        <v>32</v>
      </c>
      <c r="P380" s="293"/>
      <c r="Q380" s="292"/>
      <c r="R380" s="58"/>
      <c r="S380" s="3"/>
    </row>
    <row r="381" spans="1:19" s="2" customFormat="1" ht="18" customHeight="1" x14ac:dyDescent="0.2">
      <c r="A381" s="838"/>
      <c r="B381" s="832"/>
      <c r="C381" s="832"/>
      <c r="D381" s="832"/>
      <c r="E381" s="145" t="s">
        <v>543</v>
      </c>
      <c r="F381" s="58" t="s">
        <v>435</v>
      </c>
      <c r="G381" s="350">
        <v>0.28199999999999997</v>
      </c>
      <c r="H381" s="58" t="s">
        <v>564</v>
      </c>
      <c r="I381" s="58" t="s">
        <v>514</v>
      </c>
      <c r="J381" s="433">
        <f t="shared" ref="J381" si="144">IF(H381="Pa",G381,IF(H381="log-Pa",10^G381,IF(H381="mm Hg",G381*133.322,0)))</f>
        <v>37.596803999999999</v>
      </c>
      <c r="K381" s="178">
        <f t="shared" ref="K381" si="145">IF(H381="Pa",LOG(G381),IF(H381="log-Pa",G381,IF(H381="mm Hg",LOG(G381*133.322),0)))</f>
        <v>1.5751509283277216</v>
      </c>
      <c r="L381" s="433">
        <f t="shared" ref="L381" si="146">IF(H381="Pa",G381/133.322,IF(H381="log-Pa",(10^G381)/133.322,IF(H381="mm Hg",G381,0)))</f>
        <v>0.28199999999999997</v>
      </c>
      <c r="M381" s="58" t="s">
        <v>33</v>
      </c>
      <c r="N381" s="30" t="s">
        <v>511</v>
      </c>
      <c r="O381" s="100">
        <f>VLOOKUP(N381,References!$B$7:$F$252,5,FALSE)</f>
        <v>36</v>
      </c>
      <c r="P381" s="293"/>
      <c r="Q381" s="292"/>
      <c r="R381" s="58"/>
      <c r="S381" s="3"/>
    </row>
    <row r="382" spans="1:19" s="2" customFormat="1" ht="18" customHeight="1" x14ac:dyDescent="0.2">
      <c r="A382" s="840"/>
      <c r="B382" s="834"/>
      <c r="C382" s="834"/>
      <c r="D382" s="834"/>
      <c r="E382" s="239" t="s">
        <v>543</v>
      </c>
      <c r="F382" s="59" t="s">
        <v>435</v>
      </c>
      <c r="G382" s="326">
        <v>0.24099999999999999</v>
      </c>
      <c r="H382" s="59" t="s">
        <v>564</v>
      </c>
      <c r="I382" s="59" t="s">
        <v>515</v>
      </c>
      <c r="J382" s="469">
        <f t="shared" si="138"/>
        <v>32.130601999999996</v>
      </c>
      <c r="K382" s="183">
        <f t="shared" si="139"/>
        <v>1.5069188625832288</v>
      </c>
      <c r="L382" s="469">
        <f t="shared" si="140"/>
        <v>0.24099999999999999</v>
      </c>
      <c r="M382" s="183">
        <v>20</v>
      </c>
      <c r="N382" s="37" t="s">
        <v>511</v>
      </c>
      <c r="O382" s="122">
        <f>VLOOKUP(N382,References!$B$7:$F$252,5,FALSE)</f>
        <v>36</v>
      </c>
      <c r="P382" s="293"/>
      <c r="Q382" s="292"/>
      <c r="R382" s="58"/>
      <c r="S382" s="3"/>
    </row>
    <row r="383" spans="1:19" x14ac:dyDescent="0.2">
      <c r="A383" s="830" t="s">
        <v>437</v>
      </c>
      <c r="B383" s="832" t="s">
        <v>438</v>
      </c>
      <c r="C383" s="841">
        <v>230</v>
      </c>
      <c r="D383" s="832" t="s">
        <v>440</v>
      </c>
      <c r="E383" s="58" t="s">
        <v>438</v>
      </c>
      <c r="F383" s="58" t="s">
        <v>440</v>
      </c>
      <c r="G383" s="431">
        <v>2.56</v>
      </c>
      <c r="H383" s="58" t="s">
        <v>564</v>
      </c>
      <c r="I383" s="149" t="s">
        <v>512</v>
      </c>
      <c r="J383" s="433">
        <f t="shared" si="138"/>
        <v>341.30432000000002</v>
      </c>
      <c r="K383" s="431">
        <f t="shared" si="139"/>
        <v>2.5331417853202098</v>
      </c>
      <c r="L383" s="433">
        <f t="shared" si="140"/>
        <v>2.56</v>
      </c>
      <c r="M383" s="58" t="s">
        <v>33</v>
      </c>
      <c r="N383" s="30" t="s">
        <v>511</v>
      </c>
      <c r="O383" s="100">
        <f>VLOOKUP(N383,References!$B$7:$F$252,5,FALSE)</f>
        <v>36</v>
      </c>
      <c r="S383"/>
    </row>
    <row r="384" spans="1:19" x14ac:dyDescent="0.2">
      <c r="A384" s="830"/>
      <c r="B384" s="832"/>
      <c r="C384" s="841"/>
      <c r="D384" s="832"/>
      <c r="E384" s="58" t="s">
        <v>438</v>
      </c>
      <c r="F384" s="58" t="s">
        <v>440</v>
      </c>
      <c r="G384" s="149">
        <v>7.9</v>
      </c>
      <c r="H384" s="58" t="s">
        <v>564</v>
      </c>
      <c r="I384" s="149" t="s">
        <v>514</v>
      </c>
      <c r="J384" s="433">
        <f t="shared" si="138"/>
        <v>1053.2438</v>
      </c>
      <c r="K384" s="431">
        <f t="shared" si="139"/>
        <v>3.0225289112988021</v>
      </c>
      <c r="L384" s="433">
        <f t="shared" si="140"/>
        <v>7.9</v>
      </c>
      <c r="M384" s="58" t="s">
        <v>33</v>
      </c>
      <c r="N384" s="30" t="s">
        <v>511</v>
      </c>
      <c r="O384" s="100">
        <f>VLOOKUP(N384,References!$B$7:$F$252,5,FALSE)</f>
        <v>36</v>
      </c>
      <c r="S384"/>
    </row>
    <row r="385" spans="1:19" x14ac:dyDescent="0.2">
      <c r="A385" s="830"/>
      <c r="B385" s="832"/>
      <c r="C385" s="841"/>
      <c r="D385" s="834"/>
      <c r="E385" s="59" t="s">
        <v>438</v>
      </c>
      <c r="F385" s="59" t="s">
        <v>440</v>
      </c>
      <c r="G385" s="357">
        <v>6.93E-2</v>
      </c>
      <c r="H385" s="59" t="s">
        <v>564</v>
      </c>
      <c r="I385" s="182" t="s">
        <v>515</v>
      </c>
      <c r="J385" s="469">
        <f t="shared" si="138"/>
        <v>9.2392146000000004</v>
      </c>
      <c r="K385" s="285">
        <f t="shared" si="139"/>
        <v>0.96563505462016719</v>
      </c>
      <c r="L385" s="469">
        <f t="shared" si="140"/>
        <v>6.93E-2</v>
      </c>
      <c r="M385" s="59" t="s">
        <v>33</v>
      </c>
      <c r="N385" s="37" t="s">
        <v>511</v>
      </c>
      <c r="O385" s="100">
        <f>VLOOKUP(N385,References!$B$7:$F$252,5,FALSE)</f>
        <v>36</v>
      </c>
      <c r="S385"/>
    </row>
    <row r="386" spans="1:19" x14ac:dyDescent="0.2">
      <c r="A386" s="849" t="s">
        <v>444</v>
      </c>
      <c r="B386" s="833" t="s">
        <v>445</v>
      </c>
      <c r="C386" s="843">
        <v>280</v>
      </c>
      <c r="D386" s="832" t="s">
        <v>447</v>
      </c>
      <c r="E386" s="58" t="s">
        <v>445</v>
      </c>
      <c r="F386" s="58" t="s">
        <v>447</v>
      </c>
      <c r="G386" s="356">
        <v>0.65900000000000003</v>
      </c>
      <c r="H386" s="58" t="s">
        <v>564</v>
      </c>
      <c r="I386" s="149" t="s">
        <v>512</v>
      </c>
      <c r="J386" s="433">
        <f t="shared" si="138"/>
        <v>87.859198000000006</v>
      </c>
      <c r="K386" s="431">
        <f t="shared" si="139"/>
        <v>1.9437872346023704</v>
      </c>
      <c r="L386" s="433">
        <f t="shared" si="140"/>
        <v>0.65900000000000003</v>
      </c>
      <c r="M386" s="58" t="s">
        <v>33</v>
      </c>
      <c r="N386" s="30" t="s">
        <v>511</v>
      </c>
      <c r="O386" s="121">
        <f>VLOOKUP(N386,References!$B$7:$F$252,5,FALSE)</f>
        <v>36</v>
      </c>
      <c r="S386"/>
    </row>
    <row r="387" spans="1:19" x14ac:dyDescent="0.2">
      <c r="A387" s="830"/>
      <c r="B387" s="832"/>
      <c r="C387" s="841"/>
      <c r="D387" s="832"/>
      <c r="E387" s="58" t="s">
        <v>445</v>
      </c>
      <c r="F387" s="58" t="s">
        <v>447</v>
      </c>
      <c r="G387" s="149">
        <v>2.1800000000000002</v>
      </c>
      <c r="H387" s="58" t="s">
        <v>564</v>
      </c>
      <c r="I387" s="149" t="s">
        <v>514</v>
      </c>
      <c r="J387" s="433">
        <f t="shared" si="138"/>
        <v>290.64196000000004</v>
      </c>
      <c r="K387" s="431">
        <f t="shared" si="139"/>
        <v>2.4633583136129653</v>
      </c>
      <c r="L387" s="433">
        <f t="shared" si="140"/>
        <v>2.1800000000000002</v>
      </c>
      <c r="M387" s="58" t="s">
        <v>33</v>
      </c>
      <c r="N387" s="30" t="s">
        <v>511</v>
      </c>
      <c r="O387" s="100">
        <f>VLOOKUP(N387,References!$B$7:$F$252,5,FALSE)</f>
        <v>36</v>
      </c>
      <c r="S387"/>
    </row>
    <row r="388" spans="1:19" x14ac:dyDescent="0.2">
      <c r="A388" s="847"/>
      <c r="B388" s="834"/>
      <c r="C388" s="842"/>
      <c r="D388" s="834"/>
      <c r="E388" s="59" t="s">
        <v>445</v>
      </c>
      <c r="F388" s="59" t="s">
        <v>447</v>
      </c>
      <c r="G388" s="182">
        <v>1.75</v>
      </c>
      <c r="H388" s="59" t="s">
        <v>564</v>
      </c>
      <c r="I388" s="182" t="s">
        <v>515</v>
      </c>
      <c r="J388" s="469">
        <f t="shared" si="138"/>
        <v>233.3135</v>
      </c>
      <c r="K388" s="285">
        <f t="shared" si="139"/>
        <v>2.3679398686946551</v>
      </c>
      <c r="L388" s="469">
        <f t="shared" si="140"/>
        <v>1.75</v>
      </c>
      <c r="M388" s="59" t="s">
        <v>33</v>
      </c>
      <c r="N388" s="37" t="s">
        <v>511</v>
      </c>
      <c r="O388" s="122">
        <f>VLOOKUP(N388,References!$B$7:$F$252,5,FALSE)</f>
        <v>36</v>
      </c>
      <c r="S388"/>
    </row>
    <row r="389" spans="1:19" x14ac:dyDescent="0.2">
      <c r="A389" s="838" t="s">
        <v>451</v>
      </c>
      <c r="B389" s="832" t="s">
        <v>452</v>
      </c>
      <c r="C389" s="841">
        <v>296</v>
      </c>
      <c r="D389" s="832" t="s">
        <v>454</v>
      </c>
      <c r="E389" s="58" t="s">
        <v>452</v>
      </c>
      <c r="F389" s="58" t="s">
        <v>454</v>
      </c>
      <c r="G389" s="149">
        <v>92.88</v>
      </c>
      <c r="H389" s="58" t="s">
        <v>562</v>
      </c>
      <c r="I389" s="149" t="s">
        <v>27</v>
      </c>
      <c r="J389" s="433">
        <f t="shared" ref="J389" si="147">IF(H389="Pa",G389,IF(H389="log-Pa",10^G389,IF(H389="mm Hg",G389*133.322,0)))</f>
        <v>92.88</v>
      </c>
      <c r="K389" s="431">
        <f t="shared" ref="K389" si="148">IF(H389="Pa",LOG(G389),IF(H389="log-Pa",G389,IF(H389="mm Hg",LOG(G389*133.322),0)))</f>
        <v>1.9679222067305173</v>
      </c>
      <c r="L389" s="433">
        <f t="shared" ref="L389" si="149">IF(H389="Pa",G389/133.322,IF(H389="log-Pa",(10^G389)/133.322,IF(H389="mm Hg",G389,0)))</f>
        <v>0.69665921603336278</v>
      </c>
      <c r="M389" s="58">
        <v>20</v>
      </c>
      <c r="N389" s="30" t="s">
        <v>62</v>
      </c>
      <c r="O389" s="100">
        <f>VLOOKUP(N389,References!$B$7:$F$252,5,FALSE)</f>
        <v>112</v>
      </c>
      <c r="S389"/>
    </row>
    <row r="390" spans="1:19" x14ac:dyDescent="0.2">
      <c r="A390" s="838"/>
      <c r="B390" s="832"/>
      <c r="C390" s="841"/>
      <c r="D390" s="832"/>
      <c r="E390" s="58" t="s">
        <v>452</v>
      </c>
      <c r="F390" s="58" t="s">
        <v>454</v>
      </c>
      <c r="G390" s="149">
        <v>141.63999999999999</v>
      </c>
      <c r="H390" s="58" t="s">
        <v>562</v>
      </c>
      <c r="I390" s="149" t="s">
        <v>524</v>
      </c>
      <c r="J390" s="433">
        <f t="shared" ref="J390" si="150">IF(H390="Pa",G390,IF(H390="log-Pa",10^G390,IF(H390="mm Hg",G390*133.322,0)))</f>
        <v>141.63999999999999</v>
      </c>
      <c r="K390" s="431">
        <f t="shared" ref="K390" si="151">IF(H390="Pa",LOG(G390),IF(H390="log-Pa",G390,IF(H390="mm Hg",LOG(G390*133.322),0)))</f>
        <v>2.1511859180860733</v>
      </c>
      <c r="L390" s="433">
        <f t="shared" ref="L390" si="152">IF(H390="Pa",G390/133.322,IF(H390="log-Pa",(10^G390)/133.322,IF(H390="mm Hg",G390,0)))</f>
        <v>1.0623903031757698</v>
      </c>
      <c r="M390" s="58">
        <v>20</v>
      </c>
      <c r="N390" s="30" t="s">
        <v>62</v>
      </c>
      <c r="O390" s="100">
        <f>VLOOKUP(N390,References!$B$7:$F$252,5,FALSE)</f>
        <v>112</v>
      </c>
      <c r="S390"/>
    </row>
    <row r="391" spans="1:19" x14ac:dyDescent="0.2">
      <c r="A391" s="838"/>
      <c r="B391" s="832"/>
      <c r="C391" s="841"/>
      <c r="D391" s="832"/>
      <c r="E391" s="58" t="s">
        <v>452</v>
      </c>
      <c r="F391" s="58" t="s">
        <v>454</v>
      </c>
      <c r="G391" s="356">
        <v>0.192</v>
      </c>
      <c r="H391" s="58" t="s">
        <v>564</v>
      </c>
      <c r="I391" s="149" t="s">
        <v>512</v>
      </c>
      <c r="J391" s="433">
        <f t="shared" si="138"/>
        <v>25.597824000000003</v>
      </c>
      <c r="K391" s="431">
        <f t="shared" si="139"/>
        <v>1.4082030487119102</v>
      </c>
      <c r="L391" s="433">
        <f t="shared" si="140"/>
        <v>0.192</v>
      </c>
      <c r="M391" s="58" t="s">
        <v>33</v>
      </c>
      <c r="N391" s="30" t="s">
        <v>511</v>
      </c>
      <c r="O391" s="100">
        <f>VLOOKUP(N391,References!$B$7:$F$252,5,FALSE)</f>
        <v>36</v>
      </c>
      <c r="S391"/>
    </row>
    <row r="392" spans="1:19" x14ac:dyDescent="0.2">
      <c r="A392" s="838"/>
      <c r="B392" s="832"/>
      <c r="C392" s="841"/>
      <c r="D392" s="832"/>
      <c r="E392" s="58" t="s">
        <v>452</v>
      </c>
      <c r="F392" s="58" t="s">
        <v>454</v>
      </c>
      <c r="G392" s="149">
        <v>0.31</v>
      </c>
      <c r="H392" s="58" t="s">
        <v>564</v>
      </c>
      <c r="I392" s="149" t="s">
        <v>514</v>
      </c>
      <c r="J392" s="433">
        <f t="shared" si="138"/>
        <v>41.329819999999998</v>
      </c>
      <c r="K392" s="431">
        <f t="shared" si="139"/>
        <v>1.6162635138426331</v>
      </c>
      <c r="L392" s="433">
        <f t="shared" si="140"/>
        <v>0.31</v>
      </c>
      <c r="M392" s="58" t="s">
        <v>33</v>
      </c>
      <c r="N392" s="30" t="s">
        <v>511</v>
      </c>
      <c r="O392" s="100">
        <f>VLOOKUP(N392,References!$B$7:$F$252,5,FALSE)</f>
        <v>36</v>
      </c>
      <c r="S392"/>
    </row>
    <row r="393" spans="1:19" x14ac:dyDescent="0.2">
      <c r="A393" s="852"/>
      <c r="B393" s="845"/>
      <c r="C393" s="846"/>
      <c r="D393" s="845"/>
      <c r="E393" s="138" t="s">
        <v>452</v>
      </c>
      <c r="F393" s="138" t="s">
        <v>454</v>
      </c>
      <c r="G393" s="333">
        <v>6.8999999999999997E-4</v>
      </c>
      <c r="H393" s="188" t="s">
        <v>564</v>
      </c>
      <c r="I393" s="188" t="s">
        <v>515</v>
      </c>
      <c r="J393" s="604">
        <f t="shared" ref="J393" si="153">IF(H393="Pa",G393,IF(H393="log-Pa",10^G393,IF(H393="mm Hg",G393*133.322,0)))</f>
        <v>9.1992179999999993E-2</v>
      </c>
      <c r="K393" s="332">
        <f t="shared" ref="K393" si="154">IF(H393="Pa",LOG(G393),IF(H393="log-Pa",G393,IF(H393="mm Hg",LOG(G393*133.322),0)))</f>
        <v>-1.0362490892543843</v>
      </c>
      <c r="L393" s="604">
        <f t="shared" ref="L393" si="155">IF(H393="Pa",G393/133.322,IF(H393="log-Pa",(10^G393)/133.322,IF(H393="mm Hg",G393,0)))</f>
        <v>6.8999999999999997E-4</v>
      </c>
      <c r="M393" s="138" t="s">
        <v>33</v>
      </c>
      <c r="N393" s="210" t="s">
        <v>511</v>
      </c>
      <c r="O393" s="101">
        <f>VLOOKUP(N393,References!$B$7:$F$252,5,FALSE)</f>
        <v>36</v>
      </c>
      <c r="S393"/>
    </row>
    <row r="394" spans="1:19" s="2" customFormat="1" thickBot="1" x14ac:dyDescent="0.25">
      <c r="A394" s="130" t="s">
        <v>458</v>
      </c>
      <c r="B394" s="129" t="s">
        <v>459</v>
      </c>
      <c r="C394" s="129"/>
      <c r="D394" s="129"/>
      <c r="E394" s="129"/>
      <c r="F394" s="129"/>
      <c r="G394" s="79"/>
      <c r="H394" s="129"/>
      <c r="I394" s="129"/>
      <c r="J394" s="594"/>
      <c r="K394" s="279"/>
      <c r="L394" s="594"/>
      <c r="M394" s="129"/>
      <c r="N394" s="129"/>
      <c r="O394" s="280"/>
      <c r="P394" s="147"/>
      <c r="Q394" s="147"/>
    </row>
    <row r="395" spans="1:19" ht="33" thickBot="1" x14ac:dyDescent="0.25">
      <c r="A395" s="186" t="s">
        <v>460</v>
      </c>
      <c r="B395" s="149" t="s">
        <v>461</v>
      </c>
      <c r="C395" s="145">
        <v>632.6</v>
      </c>
      <c r="D395" s="239" t="s">
        <v>463</v>
      </c>
      <c r="E395" s="182" t="s">
        <v>544</v>
      </c>
      <c r="F395" s="239" t="s">
        <v>463</v>
      </c>
      <c r="G395" s="373">
        <v>3.4699999999999998E-6</v>
      </c>
      <c r="H395" s="239" t="s">
        <v>564</v>
      </c>
      <c r="I395" s="239" t="s">
        <v>515</v>
      </c>
      <c r="J395" s="469">
        <f>IF(H395="Pa",G395,IF(H395="log-Pa",10^G395,IF(H395="mm Hg",G395*133.322,0)))</f>
        <v>4.6262734000000001E-4</v>
      </c>
      <c r="K395" s="294">
        <f>IF(H395="Pa",LOG(G395),IF(H395="log-Pa",G395,IF(H395="mm Hg",LOG(G395*133.322),0)))</f>
        <v>-3.3347687052007657</v>
      </c>
      <c r="L395" s="469">
        <f>IF(H395="Pa",G395/133.322,IF(H395="log-Pa",(10^G395)/133.322,IF(H395="mm Hg",G395,0)))</f>
        <v>3.4699999999999998E-6</v>
      </c>
      <c r="M395" s="239" t="s">
        <v>33</v>
      </c>
      <c r="N395" s="374" t="s">
        <v>511</v>
      </c>
      <c r="O395" s="100">
        <f>VLOOKUP(N395,References!$B$7:$F$252,5,FALSE)</f>
        <v>36</v>
      </c>
      <c r="S395"/>
    </row>
    <row r="396" spans="1:19" ht="33" thickBot="1" x14ac:dyDescent="0.25">
      <c r="A396" s="157" t="s">
        <v>464</v>
      </c>
      <c r="B396" s="152" t="s">
        <v>465</v>
      </c>
      <c r="C396" s="153">
        <v>532.6</v>
      </c>
      <c r="D396" s="239" t="s">
        <v>467</v>
      </c>
      <c r="E396" s="182" t="s">
        <v>545</v>
      </c>
      <c r="F396" s="239" t="s">
        <v>467</v>
      </c>
      <c r="G396" s="373">
        <v>2.2500000000000001E-6</v>
      </c>
      <c r="H396" s="239" t="s">
        <v>564</v>
      </c>
      <c r="I396" s="239" t="s">
        <v>515</v>
      </c>
      <c r="J396" s="469">
        <f>IF(H396="Pa",G396,IF(H396="log-Pa",10^G396,IF(H396="mm Hg",G396*133.322,0)))</f>
        <v>2.9997450000000001E-4</v>
      </c>
      <c r="K396" s="294">
        <f>IF(H396="Pa",LOG(G396),IF(H396="log-Pa",G396,IF(H396="mm Hg",LOG(G396*133.322),0)))</f>
        <v>-3.522915661880277</v>
      </c>
      <c r="L396" s="469">
        <f>IF(H396="Pa",G396/133.322,IF(H396="log-Pa",(10^G396)/133.322,IF(H396="mm Hg",G396,0)))</f>
        <v>2.2500000000000001E-6</v>
      </c>
      <c r="M396" s="239" t="s">
        <v>33</v>
      </c>
      <c r="N396" s="374" t="s">
        <v>511</v>
      </c>
      <c r="O396" s="124">
        <f>VLOOKUP(N396,References!$B$7:$F$252,5,FALSE)</f>
        <v>36</v>
      </c>
      <c r="S396"/>
    </row>
    <row r="397" spans="1:19" x14ac:dyDescent="0.2">
      <c r="A397" s="838" t="s">
        <v>468</v>
      </c>
      <c r="B397" s="832" t="s">
        <v>469</v>
      </c>
      <c r="C397" s="832">
        <v>316.10000000000002</v>
      </c>
      <c r="D397" s="832" t="s">
        <v>471</v>
      </c>
      <c r="E397" s="149" t="s">
        <v>469</v>
      </c>
      <c r="F397" s="58" t="s">
        <v>471</v>
      </c>
      <c r="G397" s="356">
        <v>0.29399999999999998</v>
      </c>
      <c r="H397" s="58" t="s">
        <v>564</v>
      </c>
      <c r="I397" s="149" t="s">
        <v>512</v>
      </c>
      <c r="J397" s="433">
        <f>IF(H397="Pa",G397,IF(H397="log-Pa",10^G397,IF(H397="mm Hg",G397*133.322,0)))</f>
        <v>39.196667999999995</v>
      </c>
      <c r="K397" s="178">
        <f>IF(H397="Pa",LOG(G397),IF(H397="log-Pa",G397,IF(H397="mm Hg",LOG(G397*133.322),0)))</f>
        <v>1.5932491504205177</v>
      </c>
      <c r="L397" s="433">
        <f>IF(H397="Pa",G397/133.322,IF(H397="log-Pa",(10^G397)/133.322,IF(H397="mm Hg",G397,0)))</f>
        <v>0.29399999999999998</v>
      </c>
      <c r="M397" s="58" t="s">
        <v>33</v>
      </c>
      <c r="N397" s="30" t="s">
        <v>511</v>
      </c>
      <c r="O397" s="100">
        <f>VLOOKUP(N397,References!$B$7:$F$252,5,FALSE)</f>
        <v>36</v>
      </c>
      <c r="S397"/>
    </row>
    <row r="398" spans="1:19" x14ac:dyDescent="0.2">
      <c r="A398" s="838"/>
      <c r="B398" s="832"/>
      <c r="C398" s="832"/>
      <c r="D398" s="832"/>
      <c r="E398" s="149" t="s">
        <v>469</v>
      </c>
      <c r="F398" s="58" t="s">
        <v>471</v>
      </c>
      <c r="G398" s="372">
        <v>1.2500000000000001E-6</v>
      </c>
      <c r="H398" s="58" t="s">
        <v>564</v>
      </c>
      <c r="I398" s="149" t="s">
        <v>515</v>
      </c>
      <c r="J398" s="433">
        <f>IF(H398="Pa",G398,IF(H398="log-Pa",10^G398,IF(H398="mm Hg",G398*133.322,0)))</f>
        <v>1.6665250000000002E-4</v>
      </c>
      <c r="K398" s="178">
        <f>IF(H398="Pa",LOG(G398),IF(H398="log-Pa",G398,IF(H398="mm Hg",LOG(G398*133.322),0)))</f>
        <v>-3.7781881669835831</v>
      </c>
      <c r="L398" s="433">
        <f>IF(H398="Pa",G398/133.322,IF(H398="log-Pa",(10^G398)/133.322,IF(H398="mm Hg",G398,0)))</f>
        <v>1.2500000000000001E-6</v>
      </c>
      <c r="M398" s="58" t="s">
        <v>33</v>
      </c>
      <c r="N398" s="30" t="s">
        <v>511</v>
      </c>
      <c r="O398" s="100">
        <f>VLOOKUP(N398,References!$B$7:$F$252,5,FALSE)</f>
        <v>36</v>
      </c>
      <c r="S398"/>
    </row>
    <row r="399" spans="1:19" x14ac:dyDescent="0.2">
      <c r="A399" s="237" t="s">
        <v>475</v>
      </c>
      <c r="B399" s="158"/>
      <c r="C399" s="82"/>
      <c r="D399" s="82"/>
      <c r="E399" s="79"/>
      <c r="F399" s="175"/>
      <c r="G399" s="175"/>
      <c r="H399" s="175"/>
      <c r="I399" s="175"/>
      <c r="J399" s="594"/>
      <c r="K399" s="276"/>
      <c r="L399" s="594"/>
      <c r="M399" s="175"/>
      <c r="N399" s="175"/>
      <c r="O399" s="286"/>
      <c r="P399" s="148"/>
      <c r="Q399" s="148"/>
      <c r="S399"/>
    </row>
    <row r="400" spans="1:19" x14ac:dyDescent="0.2">
      <c r="A400" s="895" t="s">
        <v>476</v>
      </c>
      <c r="B400" s="896" t="s">
        <v>477</v>
      </c>
      <c r="C400" s="866">
        <v>378.1</v>
      </c>
      <c r="D400" s="831" t="s">
        <v>479</v>
      </c>
      <c r="E400" s="155" t="s">
        <v>580</v>
      </c>
      <c r="F400" s="156" t="s">
        <v>479</v>
      </c>
      <c r="G400" s="135">
        <v>1.37</v>
      </c>
      <c r="H400" s="135" t="s">
        <v>568</v>
      </c>
      <c r="I400" s="135" t="s">
        <v>522</v>
      </c>
      <c r="J400" s="603">
        <f>IF(H400="Pa",G400,IF(H400="log-Pa",10^G400,IF(H400="mm Hg",G400*133.322,0)))</f>
        <v>23.442288153199236</v>
      </c>
      <c r="K400" s="323">
        <f>IF(H400="Pa",LOG(G400),IF(H400="log-Pa",G400,IF(H400="mm Hg",LOG(G400*133.322),0)))</f>
        <v>1.37</v>
      </c>
      <c r="L400" s="603">
        <f>IF(H400="Pa",G400/133.322,IF(H400="log-Pa",(10^G400)/133.322,IF(H400="mm Hg",G400,0)))</f>
        <v>0.1758321068780789</v>
      </c>
      <c r="M400" s="135" t="s">
        <v>33</v>
      </c>
      <c r="N400" s="201" t="s">
        <v>523</v>
      </c>
      <c r="O400" s="99">
        <f>VLOOKUP(N400,References!$B$7:$F$252,5,FALSE)</f>
        <v>127</v>
      </c>
      <c r="S400"/>
    </row>
    <row r="401" spans="1:19" x14ac:dyDescent="0.2">
      <c r="A401" s="868"/>
      <c r="B401" s="869"/>
      <c r="C401" s="841"/>
      <c r="D401" s="832"/>
      <c r="E401" s="149" t="s">
        <v>580</v>
      </c>
      <c r="F401" s="145" t="s">
        <v>479</v>
      </c>
      <c r="G401" s="58">
        <v>1.75</v>
      </c>
      <c r="H401" s="58" t="s">
        <v>568</v>
      </c>
      <c r="I401" s="58" t="s">
        <v>522</v>
      </c>
      <c r="J401" s="433">
        <f>IF(H401="Pa",G401,IF(H401="log-Pa",10^G401,IF(H401="mm Hg",G401*133.322,0)))</f>
        <v>56.234132519034915</v>
      </c>
      <c r="K401" s="178">
        <f>IF(H401="Pa",LOG(G401),IF(H401="log-Pa",G401,IF(H401="mm Hg",LOG(G401*133.322),0)))</f>
        <v>1.75</v>
      </c>
      <c r="L401" s="433">
        <f>IF(H401="Pa",G401/133.322,IF(H401="log-Pa",(10^G401)/133.322,IF(H401="mm Hg",G401,0)))</f>
        <v>0.42179184619968885</v>
      </c>
      <c r="M401" s="58" t="s">
        <v>33</v>
      </c>
      <c r="N401" s="30" t="s">
        <v>533</v>
      </c>
      <c r="O401" s="100">
        <f>VLOOKUP(N401,References!$B$7:$F$252,5,FALSE)</f>
        <v>40</v>
      </c>
      <c r="S401"/>
    </row>
    <row r="402" spans="1:19" x14ac:dyDescent="0.2">
      <c r="A402" s="868"/>
      <c r="B402" s="869"/>
      <c r="C402" s="841"/>
      <c r="D402" s="832"/>
      <c r="E402" s="149" t="s">
        <v>580</v>
      </c>
      <c r="F402" s="145" t="s">
        <v>479</v>
      </c>
      <c r="G402" s="58">
        <v>32</v>
      </c>
      <c r="H402" s="58" t="s">
        <v>562</v>
      </c>
      <c r="I402" s="58" t="s">
        <v>524</v>
      </c>
      <c r="J402" s="433">
        <f>IF(H402="Pa",G402,IF(H402="log-Pa",10^G402,IF(H402="mm Hg",G402*133.322,0)))</f>
        <v>32</v>
      </c>
      <c r="K402" s="178">
        <f>IF(H402="Pa",LOG(G402),IF(H402="log-Pa",G402,IF(H402="mm Hg",LOG(G402*133.322),0)))</f>
        <v>1.505149978319906</v>
      </c>
      <c r="L402" s="433">
        <f>IF(H402="Pa",G402/133.322,IF(H402="log-Pa",(10^G402)/133.322,IF(H402="mm Hg",G402,0)))</f>
        <v>0.2400204017341474</v>
      </c>
      <c r="M402" s="58">
        <v>20</v>
      </c>
      <c r="N402" s="30" t="s">
        <v>436</v>
      </c>
      <c r="O402" s="100">
        <f>VLOOKUP(N402,References!$B$7:$F$252,5,FALSE)</f>
        <v>32</v>
      </c>
      <c r="S402"/>
    </row>
    <row r="403" spans="1:19" x14ac:dyDescent="0.2">
      <c r="A403" s="868"/>
      <c r="B403" s="869"/>
      <c r="C403" s="841"/>
      <c r="D403" s="832"/>
      <c r="E403" s="149" t="s">
        <v>580</v>
      </c>
      <c r="F403" s="145" t="s">
        <v>479</v>
      </c>
      <c r="G403" s="354">
        <v>2.64E-2</v>
      </c>
      <c r="H403" s="58" t="s">
        <v>564</v>
      </c>
      <c r="I403" s="58" t="s">
        <v>514</v>
      </c>
      <c r="J403" s="433">
        <f>IF(H403="Pa",G403,IF(H403="log-Pa",10^G403,IF(H403="mm Hg",G403*133.322,0)))</f>
        <v>3.5197007999999999</v>
      </c>
      <c r="K403" s="178">
        <f>IF(H403="Pa",LOG(G403),IF(H403="log-Pa",G403,IF(H403="mm Hg",LOG(G403*133.322),0)))</f>
        <v>0.54650574687819153</v>
      </c>
      <c r="L403" s="433">
        <f>IF(H403="Pa",G403/133.322,IF(H403="log-Pa",(10^G403)/133.322,IF(H403="mm Hg",G403,0)))</f>
        <v>2.64E-2</v>
      </c>
      <c r="M403" s="58" t="s">
        <v>33</v>
      </c>
      <c r="N403" s="30" t="s">
        <v>511</v>
      </c>
      <c r="O403" s="100">
        <f>VLOOKUP(N403,References!$B$7:$F$252,5,FALSE)</f>
        <v>36</v>
      </c>
      <c r="S403"/>
    </row>
    <row r="404" spans="1:19" x14ac:dyDescent="0.2">
      <c r="A404" s="880"/>
      <c r="B404" s="881"/>
      <c r="C404" s="846"/>
      <c r="D404" s="845"/>
      <c r="E404" s="188" t="s">
        <v>580</v>
      </c>
      <c r="F404" s="146" t="s">
        <v>479</v>
      </c>
      <c r="G404" s="324">
        <v>6.8399999999999997E-6</v>
      </c>
      <c r="H404" s="138" t="s">
        <v>564</v>
      </c>
      <c r="I404" s="138" t="s">
        <v>515</v>
      </c>
      <c r="J404" s="604">
        <f>IF(H404="Pa",G404,IF(H404="log-Pa",10^G404,IF(H404="mm Hg",G404*133.322,0)))</f>
        <v>9.1192247999999994E-4</v>
      </c>
      <c r="K404" s="284">
        <f>IF(H404="Pa",LOG(G404),IF(H404="log-Pa",G404,IF(H404="mm Hg",LOG(G404*133.322),0)))</f>
        <v>-3.0400420782715232</v>
      </c>
      <c r="L404" s="604">
        <f>IF(H404="Pa",G404/133.322,IF(H404="log-Pa",(10^G404)/133.322,IF(H404="mm Hg",G404,0)))</f>
        <v>6.8399999999999997E-6</v>
      </c>
      <c r="M404" s="138" t="s">
        <v>33</v>
      </c>
      <c r="N404" s="210" t="s">
        <v>511</v>
      </c>
      <c r="O404" s="101">
        <f>VLOOKUP(N404,References!$B$7:$F$252,5,FALSE)</f>
        <v>36</v>
      </c>
      <c r="S404"/>
    </row>
    <row r="405" spans="1:19" s="2" customFormat="1" thickBot="1" x14ac:dyDescent="0.25">
      <c r="A405" s="237" t="s">
        <v>481</v>
      </c>
      <c r="B405" s="129"/>
      <c r="C405" s="82"/>
      <c r="D405" s="79"/>
      <c r="E405" s="79"/>
      <c r="F405" s="79"/>
      <c r="G405" s="79"/>
      <c r="H405" s="79"/>
      <c r="I405" s="128"/>
      <c r="J405" s="79"/>
      <c r="K405" s="79"/>
      <c r="L405" s="79"/>
      <c r="M405" s="79"/>
      <c r="N405" s="79"/>
      <c r="O405" s="80"/>
      <c r="P405" s="3"/>
    </row>
    <row r="406" spans="1:19" s="2" customFormat="1" ht="18.75" customHeight="1" x14ac:dyDescent="0.2">
      <c r="A406" s="829" t="s">
        <v>482</v>
      </c>
      <c r="B406" s="831" t="s">
        <v>483</v>
      </c>
      <c r="C406" s="866">
        <v>281.10000000000002</v>
      </c>
      <c r="D406" s="831" t="s">
        <v>484</v>
      </c>
      <c r="E406" s="135" t="s">
        <v>546</v>
      </c>
      <c r="F406" s="135" t="s">
        <v>484</v>
      </c>
      <c r="G406" s="334">
        <v>1.91E-5</v>
      </c>
      <c r="H406" s="135" t="s">
        <v>564</v>
      </c>
      <c r="I406" s="135" t="s">
        <v>515</v>
      </c>
      <c r="J406" s="603">
        <f t="shared" ref="J406:J407" si="156">IF(H406="Pa",G406,IF(H406="log-Pa",10^G406,IF(H406="mm Hg",G406*133.322,0)))</f>
        <v>2.5464502000000001E-3</v>
      </c>
      <c r="K406" s="323">
        <f t="shared" ref="K406:K407" si="157">IF(H406="Pa",LOG(G406),IF(H406="log-Pa",G406,IF(H406="mm Hg",LOG(G406*133.322),0)))</f>
        <v>-2.5940648127439121</v>
      </c>
      <c r="L406" s="603">
        <f t="shared" ref="L406:L407" si="158">IF(H406="Pa",G406/133.322,IF(H406="log-Pa",(10^G406)/133.322,IF(H406="mm Hg",G406,0)))</f>
        <v>1.91E-5</v>
      </c>
      <c r="M406" s="135" t="s">
        <v>33</v>
      </c>
      <c r="N406" s="708" t="s">
        <v>511</v>
      </c>
      <c r="O406" s="99">
        <f>VLOOKUP(N406,References!$B$7:$F$252,5,FALSE)</f>
        <v>36</v>
      </c>
      <c r="P406" s="3"/>
    </row>
    <row r="407" spans="1:19" s="2" customFormat="1" ht="18.75" customHeight="1" thickBot="1" x14ac:dyDescent="0.25">
      <c r="A407" s="844"/>
      <c r="B407" s="845"/>
      <c r="C407" s="846"/>
      <c r="D407" s="845"/>
      <c r="E407" s="138" t="s">
        <v>546</v>
      </c>
      <c r="F407" s="138" t="s">
        <v>484</v>
      </c>
      <c r="G407" s="138">
        <v>0.54</v>
      </c>
      <c r="H407" s="138" t="s">
        <v>564</v>
      </c>
      <c r="I407" s="138" t="s">
        <v>514</v>
      </c>
      <c r="J407" s="604">
        <f t="shared" si="156"/>
        <v>71.993880000000004</v>
      </c>
      <c r="K407" s="284">
        <f t="shared" si="157"/>
        <v>1.8572955798313291</v>
      </c>
      <c r="L407" s="604">
        <f t="shared" si="158"/>
        <v>0.54</v>
      </c>
      <c r="M407" s="138" t="s">
        <v>33</v>
      </c>
      <c r="N407" s="597" t="s">
        <v>511</v>
      </c>
      <c r="O407" s="101">
        <f>VLOOKUP(N407,References!$B$7:$F$252,5,FALSE)</f>
        <v>36</v>
      </c>
      <c r="P407" s="3"/>
    </row>
    <row r="409" spans="1:19" x14ac:dyDescent="0.2">
      <c r="A409" s="66" t="s">
        <v>487</v>
      </c>
      <c r="S409"/>
    </row>
    <row r="410" spans="1:19" ht="27" customHeight="1" x14ac:dyDescent="0.2">
      <c r="A410" s="882" t="s">
        <v>581</v>
      </c>
      <c r="B410" s="882"/>
      <c r="C410" s="882"/>
      <c r="D410" s="882"/>
      <c r="E410" s="882"/>
      <c r="F410" s="882"/>
      <c r="G410" s="882"/>
      <c r="H410" s="882"/>
      <c r="I410" s="882"/>
      <c r="S410"/>
    </row>
    <row r="411" spans="1:19" s="2" customFormat="1" ht="60.5" customHeight="1" x14ac:dyDescent="0.2">
      <c r="A411" s="894" t="s">
        <v>549</v>
      </c>
      <c r="B411" s="894"/>
      <c r="C411" s="894"/>
      <c r="D411" s="894"/>
      <c r="E411" s="894"/>
      <c r="F411" s="894"/>
      <c r="G411" s="894"/>
      <c r="H411" s="894"/>
      <c r="I411" s="894"/>
      <c r="R411" s="3"/>
    </row>
    <row r="412" spans="1:19" x14ac:dyDescent="0.2">
      <c r="A412" s="2" t="s">
        <v>550</v>
      </c>
      <c r="S412"/>
    </row>
    <row r="413" spans="1:19" x14ac:dyDescent="0.2">
      <c r="A413" s="2" t="s">
        <v>490</v>
      </c>
    </row>
    <row r="414" spans="1:19" x14ac:dyDescent="0.2">
      <c r="A414" s="66" t="s">
        <v>491</v>
      </c>
      <c r="S414"/>
    </row>
    <row r="415" spans="1:19" x14ac:dyDescent="0.2">
      <c r="A415" s="66" t="s">
        <v>492</v>
      </c>
      <c r="S415"/>
    </row>
    <row r="416" spans="1:19" x14ac:dyDescent="0.2">
      <c r="A416" s="66" t="s">
        <v>493</v>
      </c>
      <c r="S416"/>
    </row>
    <row r="417" spans="1:19" x14ac:dyDescent="0.2">
      <c r="A417" s="66" t="s">
        <v>551</v>
      </c>
      <c r="S417"/>
    </row>
    <row r="418" spans="1:19" x14ac:dyDescent="0.2">
      <c r="A418" s="11" t="s">
        <v>552</v>
      </c>
      <c r="S418"/>
    </row>
    <row r="419" spans="1:19" x14ac:dyDescent="0.2">
      <c r="A419" s="66" t="s">
        <v>553</v>
      </c>
      <c r="S419"/>
    </row>
    <row r="420" spans="1:19" x14ac:dyDescent="0.2">
      <c r="A420" s="66" t="s">
        <v>554</v>
      </c>
      <c r="S420"/>
    </row>
    <row r="421" spans="1:19" x14ac:dyDescent="0.2">
      <c r="A421" s="66" t="s">
        <v>555</v>
      </c>
      <c r="S421"/>
    </row>
    <row r="422" spans="1:19" x14ac:dyDescent="0.2">
      <c r="A422" s="66" t="s">
        <v>556</v>
      </c>
      <c r="S422"/>
    </row>
    <row r="423" spans="1:19" x14ac:dyDescent="0.2">
      <c r="A423" s="66" t="s">
        <v>557</v>
      </c>
      <c r="S423"/>
    </row>
    <row r="424" spans="1:19" x14ac:dyDescent="0.2">
      <c r="A424" s="66" t="s">
        <v>558</v>
      </c>
      <c r="S424"/>
    </row>
    <row r="425" spans="1:19" x14ac:dyDescent="0.2">
      <c r="S425"/>
    </row>
    <row r="427" spans="1:19" x14ac:dyDescent="0.2">
      <c r="A427" s="66"/>
    </row>
    <row r="428" spans="1:19" x14ac:dyDescent="0.2">
      <c r="A428" s="2"/>
    </row>
    <row r="429" spans="1:19" x14ac:dyDescent="0.2">
      <c r="A429" s="2"/>
    </row>
    <row r="430" spans="1:19" x14ac:dyDescent="0.2">
      <c r="A430" s="2"/>
    </row>
    <row r="431" spans="1:19" x14ac:dyDescent="0.2">
      <c r="A431" s="2"/>
    </row>
    <row r="432" spans="1:19" x14ac:dyDescent="0.2">
      <c r="A432" s="2"/>
    </row>
    <row r="433" spans="1:1" x14ac:dyDescent="0.2">
      <c r="A433" s="2"/>
    </row>
    <row r="434" spans="1:1" x14ac:dyDescent="0.2">
      <c r="A434" s="48"/>
    </row>
    <row r="435" spans="1:1" x14ac:dyDescent="0.2">
      <c r="A435" s="50"/>
    </row>
    <row r="436" spans="1:1" x14ac:dyDescent="0.2">
      <c r="A436" s="51"/>
    </row>
    <row r="437" spans="1:1" x14ac:dyDescent="0.2">
      <c r="A437" s="50"/>
    </row>
    <row r="438" spans="1:1" x14ac:dyDescent="0.2">
      <c r="A438" s="541"/>
    </row>
    <row r="439" spans="1:1" x14ac:dyDescent="0.2">
      <c r="A439" s="541"/>
    </row>
    <row r="440" spans="1:1" x14ac:dyDescent="0.2">
      <c r="A440" s="50"/>
    </row>
    <row r="441" spans="1:1" x14ac:dyDescent="0.2">
      <c r="A441" s="541"/>
    </row>
    <row r="442" spans="1:1" x14ac:dyDescent="0.2">
      <c r="A442" s="541"/>
    </row>
    <row r="443" spans="1:1" x14ac:dyDescent="0.2">
      <c r="A443" s="541"/>
    </row>
  </sheetData>
  <sheetProtection algorithmName="SHA-512" hashValue="+/bq79fUQTbocPLwVCPjbxCuGjbFwUn1fl4mI9DcIWOPMSKXsFv+ZVV8xhqhP19xyhRAtBqqPkLu/cxej7ZPgA==" saltValue="wR00S6vTirhuFVrGPbjKwA==" spinCount="100000" sheet="1" objects="1" scenarios="1"/>
  <autoFilter ref="A6:O404" xr:uid="{ADCE9937-52E6-41F9-9EEE-705EF7551CE9}">
    <filterColumn colId="9" showButton="0"/>
    <filterColumn colId="10" showButton="0"/>
  </autoFilter>
  <mergeCells count="228">
    <mergeCell ref="A301:A316"/>
    <mergeCell ref="B301:B316"/>
    <mergeCell ref="C301:C316"/>
    <mergeCell ref="D301:D316"/>
    <mergeCell ref="A293:A296"/>
    <mergeCell ref="B293:B296"/>
    <mergeCell ref="C293:C296"/>
    <mergeCell ref="D293:D296"/>
    <mergeCell ref="A9:A13"/>
    <mergeCell ref="B9:B13"/>
    <mergeCell ref="C9:C13"/>
    <mergeCell ref="D9:D13"/>
    <mergeCell ref="A14:A15"/>
    <mergeCell ref="B14:B15"/>
    <mergeCell ref="C14:C15"/>
    <mergeCell ref="D14:D15"/>
    <mergeCell ref="A156:A158"/>
    <mergeCell ref="B156:B158"/>
    <mergeCell ref="C156:C158"/>
    <mergeCell ref="D156:D158"/>
    <mergeCell ref="A261:A263"/>
    <mergeCell ref="B261:B263"/>
    <mergeCell ref="C261:C263"/>
    <mergeCell ref="D261:D263"/>
    <mergeCell ref="A411:I411"/>
    <mergeCell ref="A410:I410"/>
    <mergeCell ref="A102:A118"/>
    <mergeCell ref="B102:B118"/>
    <mergeCell ref="C102:C118"/>
    <mergeCell ref="D102:D118"/>
    <mergeCell ref="A275:A288"/>
    <mergeCell ref="B275:B288"/>
    <mergeCell ref="C275:C288"/>
    <mergeCell ref="D275:D288"/>
    <mergeCell ref="A378:A382"/>
    <mergeCell ref="B378:B382"/>
    <mergeCell ref="C378:C382"/>
    <mergeCell ref="D378:D382"/>
    <mergeCell ref="A290:A292"/>
    <mergeCell ref="B290:B292"/>
    <mergeCell ref="C290:C292"/>
    <mergeCell ref="D290:D292"/>
    <mergeCell ref="A400:A404"/>
    <mergeCell ref="B400:B404"/>
    <mergeCell ref="A201:A204"/>
    <mergeCell ref="B201:B204"/>
    <mergeCell ref="C201:C204"/>
    <mergeCell ref="D201:D204"/>
    <mergeCell ref="C400:C404"/>
    <mergeCell ref="D400:D404"/>
    <mergeCell ref="D383:D385"/>
    <mergeCell ref="C383:C385"/>
    <mergeCell ref="B383:B385"/>
    <mergeCell ref="A383:A385"/>
    <mergeCell ref="A386:A388"/>
    <mergeCell ref="B386:B388"/>
    <mergeCell ref="C386:C388"/>
    <mergeCell ref="D386:D388"/>
    <mergeCell ref="A389:A393"/>
    <mergeCell ref="B389:B393"/>
    <mergeCell ref="C389:C393"/>
    <mergeCell ref="D389:D393"/>
    <mergeCell ref="A397:A398"/>
    <mergeCell ref="B397:B398"/>
    <mergeCell ref="C397:C398"/>
    <mergeCell ref="D397:D398"/>
    <mergeCell ref="A317:A332"/>
    <mergeCell ref="B317:B332"/>
    <mergeCell ref="C317:C332"/>
    <mergeCell ref="D317:D332"/>
    <mergeCell ref="A374:A377"/>
    <mergeCell ref="B374:B377"/>
    <mergeCell ref="C374:C377"/>
    <mergeCell ref="D374:D377"/>
    <mergeCell ref="A297:A299"/>
    <mergeCell ref="B297:B299"/>
    <mergeCell ref="C297:C299"/>
    <mergeCell ref="D297:D299"/>
    <mergeCell ref="A353:A369"/>
    <mergeCell ref="B353:B369"/>
    <mergeCell ref="C353:C369"/>
    <mergeCell ref="D353:D369"/>
    <mergeCell ref="A333:A352"/>
    <mergeCell ref="B333:B352"/>
    <mergeCell ref="C333:C352"/>
    <mergeCell ref="D333:D352"/>
    <mergeCell ref="A371:A373"/>
    <mergeCell ref="B371:B373"/>
    <mergeCell ref="C371:C373"/>
    <mergeCell ref="D371:D373"/>
    <mergeCell ref="A214:A215"/>
    <mergeCell ref="B214:B215"/>
    <mergeCell ref="C214:C215"/>
    <mergeCell ref="D214:D215"/>
    <mergeCell ref="A217:A224"/>
    <mergeCell ref="B217:B224"/>
    <mergeCell ref="C217:C224"/>
    <mergeCell ref="A225:A227"/>
    <mergeCell ref="A264:A274"/>
    <mergeCell ref="B264:B274"/>
    <mergeCell ref="C264:C274"/>
    <mergeCell ref="D264:D274"/>
    <mergeCell ref="A238:A242"/>
    <mergeCell ref="B238:B242"/>
    <mergeCell ref="C238:C242"/>
    <mergeCell ref="D238:D242"/>
    <mergeCell ref="A243:A255"/>
    <mergeCell ref="B243:B255"/>
    <mergeCell ref="C243:C255"/>
    <mergeCell ref="D243:D255"/>
    <mergeCell ref="A259:A260"/>
    <mergeCell ref="B259:B260"/>
    <mergeCell ref="C259:C260"/>
    <mergeCell ref="D259:D260"/>
    <mergeCell ref="A174:A180"/>
    <mergeCell ref="B174:B180"/>
    <mergeCell ref="C174:C180"/>
    <mergeCell ref="D174:D180"/>
    <mergeCell ref="A182:A183"/>
    <mergeCell ref="B182:B183"/>
    <mergeCell ref="C182:C183"/>
    <mergeCell ref="D182:D183"/>
    <mergeCell ref="A228:A237"/>
    <mergeCell ref="B228:B237"/>
    <mergeCell ref="C228:C237"/>
    <mergeCell ref="D228:D237"/>
    <mergeCell ref="A208:A209"/>
    <mergeCell ref="B208:B209"/>
    <mergeCell ref="C208:C209"/>
    <mergeCell ref="D208:D209"/>
    <mergeCell ref="A210:A211"/>
    <mergeCell ref="B210:B211"/>
    <mergeCell ref="C210:C211"/>
    <mergeCell ref="D210:D211"/>
    <mergeCell ref="A212:A213"/>
    <mergeCell ref="B212:B213"/>
    <mergeCell ref="C212:C213"/>
    <mergeCell ref="D212:D213"/>
    <mergeCell ref="A168:A172"/>
    <mergeCell ref="B168:B172"/>
    <mergeCell ref="C168:C172"/>
    <mergeCell ref="D168:D172"/>
    <mergeCell ref="A145:A149"/>
    <mergeCell ref="B145:B149"/>
    <mergeCell ref="C145:C149"/>
    <mergeCell ref="D145:D149"/>
    <mergeCell ref="A150:A154"/>
    <mergeCell ref="B150:B154"/>
    <mergeCell ref="C150:C154"/>
    <mergeCell ref="D150:D154"/>
    <mergeCell ref="A160:A161"/>
    <mergeCell ref="B160:B161"/>
    <mergeCell ref="C160:C161"/>
    <mergeCell ref="D160:D161"/>
    <mergeCell ref="A162:A166"/>
    <mergeCell ref="B162:B166"/>
    <mergeCell ref="C162:C166"/>
    <mergeCell ref="D162:D166"/>
    <mergeCell ref="C50:C64"/>
    <mergeCell ref="D50:D64"/>
    <mergeCell ref="A65:A85"/>
    <mergeCell ref="B65:B85"/>
    <mergeCell ref="C65:C85"/>
    <mergeCell ref="D65:D85"/>
    <mergeCell ref="A86:A101"/>
    <mergeCell ref="B86:B101"/>
    <mergeCell ref="C86:C101"/>
    <mergeCell ref="D86:D101"/>
    <mergeCell ref="A135:A144"/>
    <mergeCell ref="B135:B144"/>
    <mergeCell ref="C135:C144"/>
    <mergeCell ref="D135:D144"/>
    <mergeCell ref="N6:N7"/>
    <mergeCell ref="O6:O7"/>
    <mergeCell ref="A16:A26"/>
    <mergeCell ref="B16:B26"/>
    <mergeCell ref="C16:C26"/>
    <mergeCell ref="D16:D26"/>
    <mergeCell ref="A27:A34"/>
    <mergeCell ref="B27:B34"/>
    <mergeCell ref="C27:C34"/>
    <mergeCell ref="D27:D34"/>
    <mergeCell ref="A35:A49"/>
    <mergeCell ref="B35:B49"/>
    <mergeCell ref="C35:C49"/>
    <mergeCell ref="D35:D49"/>
    <mergeCell ref="A119:A134"/>
    <mergeCell ref="B119:B134"/>
    <mergeCell ref="C119:C134"/>
    <mergeCell ref="D119:D134"/>
    <mergeCell ref="A50:A64"/>
    <mergeCell ref="B50:B64"/>
    <mergeCell ref="A2:O2"/>
    <mergeCell ref="A6:A7"/>
    <mergeCell ref="B6:B7"/>
    <mergeCell ref="C6:C7"/>
    <mergeCell ref="D6:D7"/>
    <mergeCell ref="E6:E7"/>
    <mergeCell ref="F6:F7"/>
    <mergeCell ref="G6:G7"/>
    <mergeCell ref="H6:H7"/>
    <mergeCell ref="I6:I7"/>
    <mergeCell ref="J6:L6"/>
    <mergeCell ref="M6:M7"/>
    <mergeCell ref="A406:A407"/>
    <mergeCell ref="B406:B407"/>
    <mergeCell ref="C406:C407"/>
    <mergeCell ref="D406:D407"/>
    <mergeCell ref="A198:A200"/>
    <mergeCell ref="B198:B200"/>
    <mergeCell ref="C198:C200"/>
    <mergeCell ref="D198:D200"/>
    <mergeCell ref="A187:A189"/>
    <mergeCell ref="B187:B189"/>
    <mergeCell ref="C187:C189"/>
    <mergeCell ref="D187:D189"/>
    <mergeCell ref="B225:B227"/>
    <mergeCell ref="C225:C227"/>
    <mergeCell ref="D217:D224"/>
    <mergeCell ref="D225:D227"/>
    <mergeCell ref="A191:A192"/>
    <mergeCell ref="B191:B192"/>
    <mergeCell ref="C191:C192"/>
    <mergeCell ref="D191:D192"/>
    <mergeCell ref="A193:A197"/>
    <mergeCell ref="B193:B197"/>
    <mergeCell ref="C193:C197"/>
    <mergeCell ref="D193:D197"/>
  </mergeCells>
  <phoneticPr fontId="60" type="noConversion"/>
  <conditionalFormatting sqref="J17:J404 L17:L404 I259:I260">
    <cfRule type="cellIs" dxfId="264" priority="4" operator="between">
      <formula>1</formula>
      <formula>10</formula>
    </cfRule>
    <cfRule type="cellIs" dxfId="263" priority="5" operator="between">
      <formula>10</formula>
      <formula>100000</formula>
    </cfRule>
    <cfRule type="cellIs" dxfId="262" priority="6" operator="greaterThanOrEqual">
      <formula>100000</formula>
    </cfRule>
    <cfRule type="cellIs" dxfId="261" priority="7" operator="lessThanOrEqual">
      <formula>0.01</formula>
    </cfRule>
    <cfRule type="cellIs" dxfId="260" priority="3" operator="between">
      <formula>0.01</formula>
      <formula>1</formula>
    </cfRule>
  </conditionalFormatting>
  <conditionalFormatting sqref="J406:J407">
    <cfRule type="cellIs" dxfId="259" priority="65" operator="lessThanOrEqual">
      <formula>0.01</formula>
    </cfRule>
    <cfRule type="cellIs" dxfId="258" priority="64" operator="greaterThanOrEqual">
      <formula>100000</formula>
    </cfRule>
    <cfRule type="cellIs" dxfId="257" priority="63" operator="between">
      <formula>10</formula>
      <formula>100000</formula>
    </cfRule>
    <cfRule type="cellIs" dxfId="256" priority="62" operator="between">
      <formula>1</formula>
      <formula>10</formula>
    </cfRule>
    <cfRule type="cellIs" dxfId="255" priority="61" operator="between">
      <formula>0.01</formula>
      <formula>1</formula>
    </cfRule>
  </conditionalFormatting>
  <conditionalFormatting sqref="J16:M16">
    <cfRule type="cellIs" dxfId="254" priority="69" operator="greaterThanOrEqual">
      <formula>100000</formula>
    </cfRule>
    <cfRule type="cellIs" dxfId="253" priority="70" operator="lessThanOrEqual">
      <formula>0.01</formula>
    </cfRule>
    <cfRule type="cellIs" dxfId="252" priority="66" operator="between">
      <formula>0.01</formula>
      <formula>1</formula>
    </cfRule>
    <cfRule type="cellIs" dxfId="251" priority="67" operator="between">
      <formula>1</formula>
      <formula>10</formula>
    </cfRule>
    <cfRule type="cellIs" dxfId="250" priority="68" operator="between">
      <formula>10</formula>
      <formula>100000</formula>
    </cfRule>
  </conditionalFormatting>
  <conditionalFormatting sqref="L406:L407">
    <cfRule type="cellIs" dxfId="249" priority="31" operator="lessThanOrEqual">
      <formula>0.01</formula>
    </cfRule>
    <cfRule type="cellIs" dxfId="248" priority="30" operator="greaterThanOrEqual">
      <formula>100000</formula>
    </cfRule>
    <cfRule type="cellIs" dxfId="247" priority="29" operator="between">
      <formula>10</formula>
      <formula>100000</formula>
    </cfRule>
    <cfRule type="cellIs" dxfId="246" priority="28" operator="between">
      <formula>1</formula>
      <formula>10</formula>
    </cfRule>
    <cfRule type="cellIs" dxfId="245" priority="27" operator="between">
      <formula>0.01</formula>
      <formula>1</formula>
    </cfRule>
  </conditionalFormatting>
  <pageMargins left="0.7" right="0.7" top="0.75" bottom="0.75" header="0.3" footer="0.3"/>
  <pageSetup orientation="portrait" horizontalDpi="4294967293" verticalDpi="4294967294" r:id="rId1"/>
  <extLst>
    <ext xmlns:x14="http://schemas.microsoft.com/office/spreadsheetml/2009/9/main" uri="{78C0D931-6437-407d-A8EE-F0AAD7539E65}">
      <x14:conditionalFormattings>
        <x14:conditionalFormatting xmlns:xm="http://schemas.microsoft.com/office/excel/2006/main">
          <x14:cfRule type="expression" priority="42" id="{6B59B5D1-6365-4D76-8EEC-3B6AE87E48AE}">
            <xm:f>(VLOOKUP(H201,References!$B$8:$C$252,2,FALSE)="Secondary")</xm:f>
            <x14:dxf>
              <font>
                <strike val="0"/>
              </font>
              <fill>
                <patternFill>
                  <bgColor rgb="FFFFC000"/>
                </patternFill>
              </fill>
            </x14:dxf>
          </x14:cfRule>
          <xm:sqref>I201:I203 O208:O215 O259:O288 O290:O299 Q378:R382 O395:O398</xm:sqref>
        </x14:conditionalFormatting>
        <x14:conditionalFormatting xmlns:xm="http://schemas.microsoft.com/office/excel/2006/main">
          <x14:cfRule type="expression" priority="45" id="{EC3DABDB-4701-4D57-A77B-E19EC7E631D6}">
            <xm:f>(VLOOKUP(N9,References!$B$8:$C$252,2,FALSE)="Secondary")</xm:f>
            <x14:dxf>
              <font>
                <strike val="0"/>
              </font>
              <fill>
                <patternFill>
                  <bgColor rgb="FFFFC000"/>
                </patternFill>
              </fill>
            </x14:dxf>
          </x14:cfRule>
          <xm:sqref>O9:O154</xm:sqref>
        </x14:conditionalFormatting>
        <x14:conditionalFormatting xmlns:xm="http://schemas.microsoft.com/office/excel/2006/main">
          <x14:cfRule type="expression" priority="9" id="{C7A235A1-9A0D-4CC7-9A1C-31CC9CB3D672}">
            <xm:f>(VLOOKUP(N156,References!$B$8:$C$252,2,FALSE)="Secondary")</xm:f>
            <x14:dxf>
              <font>
                <strike val="0"/>
              </font>
              <fill>
                <patternFill>
                  <bgColor rgb="FFFFC000"/>
                </patternFill>
              </fill>
            </x14:dxf>
          </x14:cfRule>
          <xm:sqref>O156:O184</xm:sqref>
        </x14:conditionalFormatting>
        <x14:conditionalFormatting xmlns:xm="http://schemas.microsoft.com/office/excel/2006/main">
          <x14:cfRule type="expression" priority="20" id="{BF9AAE87-CCE4-4E5F-8677-2770A329A4D8}">
            <xm:f>(VLOOKUP(N186,References!$B$8:$C$252,2,FALSE)="Secondary")</xm:f>
            <x14:dxf>
              <font>
                <strike val="0"/>
              </font>
              <fill>
                <patternFill>
                  <bgColor rgb="FFFFC000"/>
                </patternFill>
              </fill>
            </x14:dxf>
          </x14:cfRule>
          <xm:sqref>O186:O206</xm:sqref>
        </x14:conditionalFormatting>
        <x14:conditionalFormatting xmlns:xm="http://schemas.microsoft.com/office/excel/2006/main">
          <x14:cfRule type="expression" priority="71" id="{BB596A5B-AEC3-441E-BAA0-D6441F6751A3}">
            <xm:f>(VLOOKUP(N217,References!$B$8:$C$252,2,FALSE)="Secondary")</xm:f>
            <x14:dxf>
              <font>
                <strike val="0"/>
              </font>
              <fill>
                <patternFill>
                  <bgColor rgb="FFFFC000"/>
                </patternFill>
              </fill>
            </x14:dxf>
          </x14:cfRule>
          <xm:sqref>O217:O257</xm:sqref>
        </x14:conditionalFormatting>
        <x14:conditionalFormatting xmlns:xm="http://schemas.microsoft.com/office/excel/2006/main">
          <x14:cfRule type="expression" priority="78" id="{3389312E-8D9D-4E3D-9EC3-36BB316A75C9}">
            <xm:f>(VLOOKUP(N301,References!$B$8:$C$252,2,FALSE)="Secondary")</xm:f>
            <x14:dxf>
              <font>
                <strike val="0"/>
              </font>
              <fill>
                <patternFill>
                  <bgColor rgb="FFFFC000"/>
                </patternFill>
              </fill>
            </x14:dxf>
          </x14:cfRule>
          <xm:sqref>O301:O369</xm:sqref>
        </x14:conditionalFormatting>
        <x14:conditionalFormatting xmlns:xm="http://schemas.microsoft.com/office/excel/2006/main">
          <x14:cfRule type="expression" priority="43" id="{34BFB81C-9894-4729-859E-12300A976260}">
            <xm:f>(VLOOKUP(N371,References!$B$8:$C$252,2,FALSE)="Secondary")</xm:f>
            <x14:dxf>
              <font>
                <strike val="0"/>
              </font>
              <fill>
                <patternFill>
                  <bgColor rgb="FFFFC000"/>
                </patternFill>
              </fill>
            </x14:dxf>
          </x14:cfRule>
          <xm:sqref>O371:O393</xm:sqref>
        </x14:conditionalFormatting>
        <x14:conditionalFormatting xmlns:xm="http://schemas.microsoft.com/office/excel/2006/main">
          <x14:cfRule type="expression" priority="87" id="{0F1ABEEF-932E-480B-901B-1BE196E365BB}">
            <xm:f>(VLOOKUP(N400,References!$B$8:$C$252,2,FALSE)="Secondary")</xm:f>
            <x14:dxf>
              <font>
                <strike val="0"/>
              </font>
              <fill>
                <patternFill>
                  <bgColor rgb="FFFFC000"/>
                </patternFill>
              </fill>
            </x14:dxf>
          </x14:cfRule>
          <xm:sqref>O400:O404</xm:sqref>
        </x14:conditionalFormatting>
        <x14:conditionalFormatting xmlns:xm="http://schemas.microsoft.com/office/excel/2006/main">
          <x14:cfRule type="expression" priority="39" id="{022FF801-9174-4670-BE78-0286E8A9E63F}">
            <xm:f>(VLOOKUP(N406,References!$B$8:$C$252,2,FALSE)="Secondary")</xm:f>
            <x14:dxf>
              <font>
                <strike val="0"/>
              </font>
              <fill>
                <patternFill>
                  <bgColor rgb="FFFFC000"/>
                </patternFill>
              </fill>
            </x14:dxf>
          </x14:cfRule>
          <xm:sqref>O406:O407</xm:sqref>
        </x14:conditionalFormatting>
        <x14:conditionalFormatting xmlns:xm="http://schemas.microsoft.com/office/excel/2006/main">
          <x14:cfRule type="expression" priority="40" id="{8127A6EE-AE05-4644-A186-21F1E720F31C}">
            <xm:f>(VLOOKUP(P201,References!$B$8:$C$252,2,FALSE)="Secondary")</xm:f>
            <x14:dxf>
              <font>
                <strike val="0"/>
              </font>
              <fill>
                <patternFill>
                  <bgColor rgb="FFFFC000"/>
                </patternFill>
              </fill>
            </x14:dxf>
          </x14:cfRule>
          <xm:sqref>Q201:Q203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E02C-DA4D-42AE-9956-49C52917B663}">
  <sheetPr codeName="Sheet4">
    <tabColor rgb="FF92D050"/>
  </sheetPr>
  <dimension ref="A1:AD325"/>
  <sheetViews>
    <sheetView zoomScale="110" zoomScaleNormal="110" workbookViewId="0">
      <pane ySplit="7" topLeftCell="A290" activePane="bottomLeft" state="frozen"/>
      <selection pane="bottomLeft" activeCell="A3" sqref="A3"/>
    </sheetView>
  </sheetViews>
  <sheetFormatPr baseColWidth="10" defaultColWidth="41.5" defaultRowHeight="15" x14ac:dyDescent="0.2"/>
  <cols>
    <col min="1" max="1" width="46.6640625" style="48" customWidth="1"/>
    <col min="2" max="2" width="12.6640625" style="48" customWidth="1"/>
    <col min="3" max="3" width="10" style="49" bestFit="1" customWidth="1"/>
    <col min="4" max="4" width="13.5" style="46" customWidth="1"/>
    <col min="5" max="5" width="14.6640625" style="47" customWidth="1"/>
    <col min="6" max="6" width="5.6640625" style="46" customWidth="1"/>
    <col min="7" max="10" width="13.6640625" style="47" customWidth="1"/>
    <col min="11" max="11" width="18" style="47" customWidth="1"/>
    <col min="12" max="12" width="10.1640625" style="47" customWidth="1"/>
    <col min="13" max="13" width="6.1640625" style="47" customWidth="1"/>
    <col min="14" max="14" width="4" style="47" bestFit="1" customWidth="1"/>
    <col min="15" max="15" width="25" style="47" hidden="1" customWidth="1"/>
    <col min="16" max="16" width="12.1640625" style="47" customWidth="1"/>
    <col min="17" max="17" width="5" style="47" bestFit="1" customWidth="1"/>
    <col min="18" max="18" width="35.1640625" style="47" customWidth="1"/>
    <col min="19" max="19" width="16" style="47" customWidth="1"/>
    <col min="20" max="16384" width="41.5" style="47"/>
  </cols>
  <sheetData>
    <row r="1" spans="1:30" ht="21" x14ac:dyDescent="0.25">
      <c r="A1" s="4" t="s">
        <v>6</v>
      </c>
      <c r="B1" s="5"/>
      <c r="C1" s="5"/>
      <c r="D1" s="6"/>
      <c r="E1" s="6"/>
    </row>
    <row r="2" spans="1:30" ht="27.75" customHeight="1" x14ac:dyDescent="0.2">
      <c r="A2" s="919" t="s">
        <v>582</v>
      </c>
      <c r="B2" s="919"/>
      <c r="C2" s="919"/>
      <c r="D2" s="919"/>
      <c r="E2" s="919"/>
      <c r="F2" s="919"/>
      <c r="G2" s="919"/>
      <c r="H2" s="919"/>
      <c r="I2" s="919"/>
      <c r="J2" s="919"/>
      <c r="K2" s="919"/>
      <c r="L2" s="919"/>
      <c r="M2" s="919"/>
      <c r="N2" s="919"/>
      <c r="O2" s="919"/>
      <c r="P2" s="919"/>
    </row>
    <row r="3" spans="1:30" x14ac:dyDescent="0.2">
      <c r="A3" s="13"/>
    </row>
    <row r="4" spans="1:30" x14ac:dyDescent="0.2">
      <c r="A4" s="13"/>
    </row>
    <row r="5" spans="1:30" ht="20" thickBot="1" x14ac:dyDescent="0.3">
      <c r="A5" s="113" t="s">
        <v>583</v>
      </c>
    </row>
    <row r="6" spans="1:30" s="73" customFormat="1" ht="19" x14ac:dyDescent="0.25">
      <c r="A6" s="917" t="s">
        <v>9</v>
      </c>
      <c r="B6" s="915" t="s">
        <v>10</v>
      </c>
      <c r="C6" s="915" t="s">
        <v>13</v>
      </c>
      <c r="D6" s="915" t="s">
        <v>561</v>
      </c>
      <c r="E6" s="915" t="s">
        <v>502</v>
      </c>
      <c r="F6" s="915" t="s">
        <v>492</v>
      </c>
      <c r="G6" s="914" t="s">
        <v>503</v>
      </c>
      <c r="H6" s="914"/>
      <c r="I6" s="914"/>
      <c r="J6" s="914"/>
      <c r="K6" s="914"/>
      <c r="L6" s="914"/>
      <c r="M6" s="915" t="s">
        <v>584</v>
      </c>
      <c r="N6" s="915" t="s">
        <v>585</v>
      </c>
      <c r="O6" s="915" t="s">
        <v>586</v>
      </c>
      <c r="P6" s="912" t="s">
        <v>587</v>
      </c>
    </row>
    <row r="7" spans="1:30" s="73" customFormat="1" ht="41" thickBot="1" x14ac:dyDescent="0.3">
      <c r="A7" s="918"/>
      <c r="B7" s="916"/>
      <c r="C7" s="916"/>
      <c r="D7" s="916"/>
      <c r="E7" s="916"/>
      <c r="F7" s="916"/>
      <c r="G7" s="251" t="s">
        <v>588</v>
      </c>
      <c r="H7" s="251" t="s">
        <v>589</v>
      </c>
      <c r="I7" s="251" t="s">
        <v>590</v>
      </c>
      <c r="J7" s="251" t="s">
        <v>591</v>
      </c>
      <c r="K7" s="251" t="s">
        <v>592</v>
      </c>
      <c r="L7" s="251" t="s">
        <v>593</v>
      </c>
      <c r="M7" s="916"/>
      <c r="N7" s="916"/>
      <c r="O7" s="916"/>
      <c r="P7" s="913"/>
    </row>
    <row r="8" spans="1:30" ht="17" thickBot="1" x14ac:dyDescent="0.25">
      <c r="A8" s="74" t="s">
        <v>22</v>
      </c>
      <c r="B8" s="162" t="s">
        <v>23</v>
      </c>
      <c r="C8" s="75"/>
      <c r="D8" s="75"/>
      <c r="E8" s="75"/>
      <c r="F8" s="75"/>
      <c r="G8" s="75"/>
      <c r="H8" s="75"/>
      <c r="I8" s="75"/>
      <c r="J8" s="75"/>
      <c r="K8" s="75"/>
      <c r="L8" s="75"/>
      <c r="M8" s="75"/>
      <c r="N8" s="75"/>
      <c r="O8" s="75"/>
      <c r="P8" s="76"/>
      <c r="Q8" s="77"/>
      <c r="R8" s="77"/>
      <c r="S8" s="445"/>
      <c r="T8" s="77"/>
      <c r="U8" s="77"/>
      <c r="V8" s="77"/>
      <c r="W8" s="77"/>
      <c r="X8" s="77"/>
      <c r="Y8" s="77"/>
      <c r="Z8" s="77"/>
      <c r="AA8" s="77"/>
      <c r="AB8" s="77"/>
      <c r="AC8" s="77"/>
      <c r="AD8" s="77"/>
    </row>
    <row r="9" spans="1:30" customFormat="1" ht="16" x14ac:dyDescent="0.2">
      <c r="A9" s="906" t="s">
        <v>24</v>
      </c>
      <c r="B9" s="920" t="s">
        <v>25</v>
      </c>
      <c r="C9" s="920" t="s">
        <v>26</v>
      </c>
      <c r="D9" s="671">
        <v>1.12E-7</v>
      </c>
      <c r="E9" s="615" t="s">
        <v>594</v>
      </c>
      <c r="F9" s="615" t="s">
        <v>515</v>
      </c>
      <c r="G9" s="615">
        <f t="shared" ref="G9" si="0">IF(ISBLANK(D9),"",IF(E9="log",K9*R_Pa*(M9+273.15)*0.001,IF(E9="dimensionless",K9*R_Pa*(M9+273.15)*0.001,IF(E9="Pa-m3/mol",D9,IF(E9="log Pa-m3/mol",10^D9,IF(E9="mol/dm3-atm",I9*101325,IF(E9="atm-m3/mol",I9*101325,0)))))))</f>
        <v>1.13484E-2</v>
      </c>
      <c r="H9" s="672">
        <f t="shared" ref="H9:H10" si="1">IF(ISBLANK(D9),"",1/G9)</f>
        <v>88.118148813929722</v>
      </c>
      <c r="I9" s="673">
        <f t="shared" ref="I9:I10" si="2">IF(ISBLANK(D9),"",IF(E9="log",K9*R_atm*(M9+273.15)*0.001,IF(E9="dimensionless",K9*R_atm*(M9+273.15)*0.001,IF(E9="Pa-m3/mol",D9/101325,IF(E9="log Pa-m3/mol",(10^D9)/101325,IF(E9="mol/dm3-atm",1/(D9*1000),IF(E9="atm-m3/mol",D9,0)))))))</f>
        <v>1.12E-7</v>
      </c>
      <c r="J9" s="673">
        <f t="shared" ref="J9:J10" si="3">IF(ISBLANK(D9),"",1/I9)</f>
        <v>8928571.4285714291</v>
      </c>
      <c r="K9" s="673">
        <f t="shared" ref="K9:K18" si="4">IF(ISBLANK(D9),"",IF(E9="log",10^D9,IF(E9="dimensionless",D9,I9/(R_atm*(M9+273.15)*0.001))))</f>
        <v>4.5778929866405073E-6</v>
      </c>
      <c r="L9" s="672">
        <f t="shared" ref="L9:L10" si="5">IF(ISBLANK(D9),"",IF(E9="log",D9,IF(E9="dimensionless",LOG(D9),LOG(K9))))</f>
        <v>-5.3393343636611963</v>
      </c>
      <c r="M9" s="615">
        <v>25</v>
      </c>
      <c r="N9" s="615"/>
      <c r="O9" s="434" t="s">
        <v>511</v>
      </c>
      <c r="P9" s="100">
        <f>VLOOKUP(O9,References!$B$7:$F$252,5,FALSE)</f>
        <v>36</v>
      </c>
      <c r="Q9" s="66"/>
      <c r="S9" s="542"/>
    </row>
    <row r="10" spans="1:30" customFormat="1" ht="16" x14ac:dyDescent="0.2">
      <c r="A10" s="907"/>
      <c r="B10" s="886"/>
      <c r="C10" s="886"/>
      <c r="D10" s="671">
        <v>4.7500000000000003E-6</v>
      </c>
      <c r="E10" s="615" t="s">
        <v>595</v>
      </c>
      <c r="F10" s="615" t="s">
        <v>33</v>
      </c>
      <c r="G10" s="615">
        <f>IF(ISBLANK(D10),"",IF(E10="log",K10*R_Pa*(M10+273.15)*0.001,IF(E10="dimensionless",K10*R_Pa*(M10+273.15)*0.001,IF(E10="Pa-m3/mol",D10,IF(E10="log Pa-m3/mol",10^D10,IF(E10="mol/dm3-atm",I10*101325,IF(E10="atm-m3/mol",I10*101325,0)))))))</f>
        <v>1.1775045890611346E-2</v>
      </c>
      <c r="H10" s="672">
        <f t="shared" si="1"/>
        <v>84.925359042323123</v>
      </c>
      <c r="I10" s="673">
        <f t="shared" si="2"/>
        <v>1.1621066756093156E-7</v>
      </c>
      <c r="J10" s="673">
        <f t="shared" si="3"/>
        <v>8605062.0049633589</v>
      </c>
      <c r="K10" s="673">
        <f t="shared" ref="K10" si="6">IF(ISBLANK(D10),"",IF(E10="log",10^D10,IF(E10="dimensionless",D10,I10/(R_atm*(M10+273.15)*0.001))))</f>
        <v>4.7500000000000003E-6</v>
      </c>
      <c r="L10" s="672">
        <f t="shared" si="5"/>
        <v>-5.3233063903751336</v>
      </c>
      <c r="M10" s="674">
        <v>25</v>
      </c>
      <c r="N10" s="615"/>
      <c r="O10" s="434" t="s">
        <v>596</v>
      </c>
      <c r="P10" s="100">
        <f>VLOOKUP(O10,References!$B$7:$F$252,5,FALSE)</f>
        <v>33</v>
      </c>
      <c r="Q10" s="66"/>
      <c r="S10" s="542"/>
    </row>
    <row r="11" spans="1:30" customFormat="1" ht="16" x14ac:dyDescent="0.2">
      <c r="A11" s="907"/>
      <c r="B11" s="886"/>
      <c r="C11" s="886"/>
      <c r="D11" s="671">
        <f>1/57</f>
        <v>1.7543859649122806E-2</v>
      </c>
      <c r="E11" s="615" t="s">
        <v>597</v>
      </c>
      <c r="F11" s="615" t="s">
        <v>27</v>
      </c>
      <c r="G11" s="615">
        <f>IF(ISBLANK(D11),"",IF(E11="log",K11*R_Pa*(M11+273.15)*0.001,IF(E11="dimensionless",K11*R_Pa*(M11+273.15)*0.001,IF(E11="Pa-m3/mol",D11,IF(E11="log Pa-m3/mol",10^D11,IF(E11="mol/dm3-atm",I11*101325,IF(E11="atm-m3/mol",I11*101325,0)))))))</f>
        <v>1.7543859649122806E-2</v>
      </c>
      <c r="H11" s="672">
        <f t="shared" ref="H11:H15" si="7">IF(ISBLANK(D11),"",1/G11)</f>
        <v>57</v>
      </c>
      <c r="I11" s="673">
        <f t="shared" ref="I11:I15" si="8">IF(ISBLANK(D11),"",IF(E11="log",K11*R_atm*(M11+273.15)*0.001,IF(E11="dimensionless",K11*R_atm*(M11+273.15)*0.001,IF(E11="Pa-m3/mol",D11/101325,IF(E11="log Pa-m3/mol",(10^D11)/101325,IF(E11="mol/dm3-atm",1/(D11*1000),IF(E11="atm-m3/mol",D11,0)))))))</f>
        <v>1.7314443275719521E-7</v>
      </c>
      <c r="J11" s="673">
        <f t="shared" ref="J11:J15" si="9">IF(ISBLANK(D11),"",1/I11)</f>
        <v>5775525.0000000009</v>
      </c>
      <c r="K11" s="673">
        <f t="shared" si="4"/>
        <v>7.0534558466957897E-6</v>
      </c>
      <c r="L11" s="672">
        <f t="shared" ref="L11:L15" si="10">IF(ISBLANK(D11),"",IF(E11="log",D11,IF(E11="dimensionless",LOG(D11),LOG(K11))))</f>
        <v>-5.1515980479139074</v>
      </c>
      <c r="M11" s="615">
        <v>26</v>
      </c>
      <c r="N11" s="615"/>
      <c r="O11" s="434" t="s">
        <v>598</v>
      </c>
      <c r="P11" s="100">
        <f>VLOOKUP(O11,References!$B$7:$F$252,5,FALSE)</f>
        <v>111</v>
      </c>
      <c r="Q11" s="66"/>
      <c r="R11" s="475"/>
      <c r="S11" s="461"/>
    </row>
    <row r="12" spans="1:30" customFormat="1" ht="16" x14ac:dyDescent="0.2">
      <c r="A12" s="907"/>
      <c r="B12" s="886"/>
      <c r="C12" s="886"/>
      <c r="D12" s="671">
        <f>1/89</f>
        <v>1.1235955056179775E-2</v>
      </c>
      <c r="E12" s="615" t="s">
        <v>597</v>
      </c>
      <c r="F12" s="615" t="s">
        <v>27</v>
      </c>
      <c r="G12" s="615">
        <f t="shared" ref="G12:G15" si="11">IF(ISBLANK(D12),"",IF(E12="log",K12*R_Pa*(M12+273.15)*0.001,IF(E12="dimensionless",K12*R_Pa*(M12+273.15)*0.001,IF(E12="Pa-m3/mol",D12,IF(E12="log Pa-m3/mol",10^D12,IF(E12="mol/dm3-atm",I12*101325,IF(E12="atm-m3/mol",I12*101325,0)))))))</f>
        <v>1.1235955056179775E-2</v>
      </c>
      <c r="H12" s="672">
        <f t="shared" si="7"/>
        <v>89</v>
      </c>
      <c r="I12" s="673">
        <f t="shared" si="8"/>
        <v>1.1089025468719245E-7</v>
      </c>
      <c r="J12" s="673">
        <f t="shared" si="9"/>
        <v>9017925</v>
      </c>
      <c r="K12" s="673">
        <f t="shared" si="4"/>
        <v>4.5173818344006746E-6</v>
      </c>
      <c r="L12" s="672">
        <f t="shared" si="10"/>
        <v>-5.3451131988863283</v>
      </c>
      <c r="M12" s="615">
        <v>26</v>
      </c>
      <c r="N12" s="615"/>
      <c r="O12" s="434" t="s">
        <v>598</v>
      </c>
      <c r="P12" s="100">
        <f>VLOOKUP(O12,References!$B$7:$F$252,5,FALSE)</f>
        <v>111</v>
      </c>
      <c r="Q12" s="66"/>
      <c r="S12" s="542"/>
    </row>
    <row r="13" spans="1:30" customFormat="1" ht="16" x14ac:dyDescent="0.2">
      <c r="A13" s="907"/>
      <c r="B13" s="886"/>
      <c r="C13" s="886"/>
      <c r="D13" s="671">
        <f>1/57</f>
        <v>1.7543859649122806E-2</v>
      </c>
      <c r="E13" s="615" t="s">
        <v>597</v>
      </c>
      <c r="F13" s="615" t="s">
        <v>27</v>
      </c>
      <c r="G13" s="615">
        <f t="shared" si="11"/>
        <v>1.7543859649122806E-2</v>
      </c>
      <c r="H13" s="672">
        <f t="shared" si="7"/>
        <v>57</v>
      </c>
      <c r="I13" s="673">
        <f t="shared" si="8"/>
        <v>1.7314443275719521E-7</v>
      </c>
      <c r="J13" s="673">
        <f t="shared" si="9"/>
        <v>5775525.0000000009</v>
      </c>
      <c r="K13" s="673">
        <f t="shared" si="4"/>
        <v>7.0534558466957897E-6</v>
      </c>
      <c r="L13" s="672">
        <f t="shared" si="10"/>
        <v>-5.1515980479139074</v>
      </c>
      <c r="M13" s="615">
        <v>26</v>
      </c>
      <c r="N13" s="615"/>
      <c r="O13" s="434" t="s">
        <v>598</v>
      </c>
      <c r="P13" s="100">
        <f>VLOOKUP(O13,References!$B$7:$F$252,5,FALSE)</f>
        <v>111</v>
      </c>
      <c r="Q13" s="66"/>
      <c r="S13" s="542"/>
    </row>
    <row r="14" spans="1:30" customFormat="1" ht="16" x14ac:dyDescent="0.2">
      <c r="A14" s="907"/>
      <c r="B14" s="886"/>
      <c r="C14" s="886"/>
      <c r="D14" s="671">
        <f>1/83</f>
        <v>1.2048192771084338E-2</v>
      </c>
      <c r="E14" s="615" t="s">
        <v>597</v>
      </c>
      <c r="F14" s="615" t="s">
        <v>27</v>
      </c>
      <c r="G14" s="615">
        <f t="shared" si="11"/>
        <v>1.2048192771084338E-2</v>
      </c>
      <c r="H14" s="672">
        <f t="shared" si="7"/>
        <v>83</v>
      </c>
      <c r="I14" s="673">
        <f t="shared" si="8"/>
        <v>1.1890641767662806E-7</v>
      </c>
      <c r="J14" s="673">
        <f t="shared" si="9"/>
        <v>8409975</v>
      </c>
      <c r="K14" s="673">
        <f t="shared" si="4"/>
        <v>4.8601862102534147E-6</v>
      </c>
      <c r="L14" s="672">
        <f t="shared" si="10"/>
        <v>-5.313347091121182</v>
      </c>
      <c r="M14" s="615">
        <v>25</v>
      </c>
      <c r="N14" s="615"/>
      <c r="O14" s="434" t="s">
        <v>598</v>
      </c>
      <c r="P14" s="100">
        <f>VLOOKUP(O14,References!$B$7:$F$252,5,FALSE)</f>
        <v>111</v>
      </c>
      <c r="Q14" s="66"/>
      <c r="S14" s="542"/>
    </row>
    <row r="15" spans="1:30" customFormat="1" ht="16" x14ac:dyDescent="0.2">
      <c r="A15" s="908"/>
      <c r="B15" s="887"/>
      <c r="C15" s="887"/>
      <c r="D15" s="675">
        <f>1/88</f>
        <v>1.1363636363636364E-2</v>
      </c>
      <c r="E15" s="419" t="s">
        <v>597</v>
      </c>
      <c r="F15" s="419" t="s">
        <v>27</v>
      </c>
      <c r="G15" s="419">
        <f t="shared" si="11"/>
        <v>1.1363636363636364E-2</v>
      </c>
      <c r="H15" s="676">
        <f t="shared" si="7"/>
        <v>88</v>
      </c>
      <c r="I15" s="677">
        <f t="shared" si="8"/>
        <v>1.1215037121772874E-7</v>
      </c>
      <c r="J15" s="677">
        <f t="shared" si="9"/>
        <v>8916600</v>
      </c>
      <c r="K15" s="677">
        <f t="shared" si="4"/>
        <v>4.5687157188825004E-6</v>
      </c>
      <c r="L15" s="676">
        <f t="shared" si="10"/>
        <v>-5.3402058643915842</v>
      </c>
      <c r="M15" s="419">
        <v>26</v>
      </c>
      <c r="N15" s="419"/>
      <c r="O15" s="678" t="s">
        <v>598</v>
      </c>
      <c r="P15" s="122">
        <f>VLOOKUP(O15,References!$B$7:$F$252,5,FALSE)</f>
        <v>111</v>
      </c>
      <c r="Q15" s="66"/>
      <c r="S15" s="542"/>
    </row>
    <row r="16" spans="1:30" customFormat="1" ht="16" x14ac:dyDescent="0.2">
      <c r="A16" s="921" t="s">
        <v>516</v>
      </c>
      <c r="B16" s="889" t="s">
        <v>38</v>
      </c>
      <c r="C16" s="889" t="s">
        <v>39</v>
      </c>
      <c r="D16" s="679">
        <v>3.63E-6</v>
      </c>
      <c r="E16" s="476" t="s">
        <v>594</v>
      </c>
      <c r="F16" s="476" t="s">
        <v>515</v>
      </c>
      <c r="G16" s="476">
        <f t="shared" ref="G16:G17" si="12">IF(ISBLANK(D16),"",IF(E16="log",K16*R_Pa*(M16+273.15)*0.001,IF(E16="dimensionless",K16*R_Pa*(M16+273.15)*0.001,IF(E16="Pa-m3/mol",D16,IF(E16="log Pa-m3/mol",10^D16,IF(E16="mol/dm3-atm",I16*101325,IF(E16="atm-m3/mol",I16*101325,0)))))))</f>
        <v>0.36780974999999999</v>
      </c>
      <c r="H16" s="680">
        <f t="shared" ref="H16:H17" si="13">IF(ISBLANK(D16),"",1/G16)</f>
        <v>2.7187968780055449</v>
      </c>
      <c r="I16" s="681">
        <f t="shared" ref="I16:I17" si="14">IF(ISBLANK(D16),"",IF(E16="log",K16*R_atm*(M16+273.15)*0.001,IF(E16="dimensionless",K16*R_atm*(M16+273.15)*0.001,IF(E16="Pa-m3/mol",D16/101325,IF(E16="log Pa-m3/mol",(10^D16)/101325,IF(E16="mol/dm3-atm",1/(D16*1000),IF(E16="atm-m3/mol",D16,0)))))))</f>
        <v>3.63E-6</v>
      </c>
      <c r="J16" s="681">
        <f t="shared" ref="J16:J17" si="15">IF(ISBLANK(D16),"",1/I16)</f>
        <v>275482.09366391186</v>
      </c>
      <c r="K16" s="681">
        <f t="shared" si="4"/>
        <v>1.4837278162058073E-4</v>
      </c>
      <c r="L16" s="680">
        <f t="shared" ref="L16:L17" si="16">IF(ISBLANK(D16),"",IF(E16="log",D16,IF(E16="dimensionless",LOG(D16),LOG(K16))))</f>
        <v>-3.8286457612952653</v>
      </c>
      <c r="M16" s="476">
        <v>25</v>
      </c>
      <c r="N16" s="476"/>
      <c r="O16" s="682" t="s">
        <v>511</v>
      </c>
      <c r="P16" s="121">
        <f>VLOOKUP(O16,References!$B$7:$F$252,5,FALSE)</f>
        <v>36</v>
      </c>
      <c r="Q16" s="66"/>
      <c r="S16" s="47"/>
    </row>
    <row r="17" spans="1:21" customFormat="1" ht="16" x14ac:dyDescent="0.2">
      <c r="A17" s="908"/>
      <c r="B17" s="887"/>
      <c r="C17" s="887"/>
      <c r="D17" s="675">
        <f>1/8.8</f>
        <v>0.11363636363636363</v>
      </c>
      <c r="E17" s="419" t="s">
        <v>597</v>
      </c>
      <c r="F17" s="419" t="s">
        <v>27</v>
      </c>
      <c r="G17" s="419">
        <f t="shared" si="12"/>
        <v>0.11363636363636363</v>
      </c>
      <c r="H17" s="676">
        <f t="shared" si="13"/>
        <v>8.8000000000000007</v>
      </c>
      <c r="I17" s="677">
        <f t="shared" si="14"/>
        <v>1.1215037121772873E-6</v>
      </c>
      <c r="J17" s="677">
        <f t="shared" si="15"/>
        <v>891660</v>
      </c>
      <c r="K17" s="677">
        <f t="shared" si="4"/>
        <v>4.5687157188825004E-5</v>
      </c>
      <c r="L17" s="676">
        <f t="shared" si="16"/>
        <v>-4.3402058643915842</v>
      </c>
      <c r="M17" s="419">
        <v>26</v>
      </c>
      <c r="N17" s="419"/>
      <c r="O17" s="678" t="s">
        <v>598</v>
      </c>
      <c r="P17" s="122">
        <f>VLOOKUP(O17,References!$B$7:$F$252,5,FALSE)</f>
        <v>111</v>
      </c>
      <c r="Q17" s="66"/>
      <c r="S17" s="542"/>
    </row>
    <row r="18" spans="1:21" ht="16" x14ac:dyDescent="0.2">
      <c r="A18" s="904" t="s">
        <v>41</v>
      </c>
      <c r="B18" s="897" t="s">
        <v>42</v>
      </c>
      <c r="C18" s="905" t="s">
        <v>43</v>
      </c>
      <c r="D18" s="543">
        <v>1.24</v>
      </c>
      <c r="E18" s="543" t="s">
        <v>597</v>
      </c>
      <c r="F18" s="544" t="s">
        <v>27</v>
      </c>
      <c r="G18" s="531">
        <f t="shared" ref="G18:G25" si="17">IF(ISBLANK(D18),"",IF(E18="log",K18*R_Pa*(M18+273.15)*0.001,IF(E18="dimensionless",K18*R_Pa*(M18+273.15)*0.001,IF(E18="Pa-m3/mol",D18,IF(E18="log Pa-m3/mol",10^D18,IF(E18="mol/dm3-atm",I18*101325,IF(E18="atm-m3/mol",I18*101325,0)))))))</f>
        <v>1.24</v>
      </c>
      <c r="H18" s="531">
        <f t="shared" ref="H18:H83" si="18">IF(ISBLANK(D18),"",1/G18)</f>
        <v>0.80645161290322587</v>
      </c>
      <c r="I18" s="531">
        <f>IF(ISBLANK(D18),"",IF(E18="log",K18*R_atm*(M18+273.15)*0.001,IF(E18="dimensionless",K18*R_atm*(M18+273.15)*0.001,IF(E18="Pa-m3/mol",D18/101325,IF(E18="log Pa-m3/mol",(10^D18)/101325,IF(E18="mol/dm3-atm",1/(D18*1000),IF(E18="atm-m3/mol",D18,0)))))))</f>
        <v>1.2237848507278558E-5</v>
      </c>
      <c r="J18" s="531">
        <f>IF(ISBLANK(D18),"",1/I18)</f>
        <v>81713.709677419363</v>
      </c>
      <c r="K18" s="531">
        <f t="shared" si="4"/>
        <v>5.0021036475928133E-4</v>
      </c>
      <c r="L18" s="531">
        <f>IF(ISBLANK(D18),"",IF(E18="log",D18,IF(E18="dimensionless",LOG(D18),LOG(K18))))</f>
        <v>-3.3008473135828735</v>
      </c>
      <c r="M18" s="543">
        <v>25</v>
      </c>
      <c r="N18" s="542"/>
      <c r="O18" s="542" t="s">
        <v>567</v>
      </c>
      <c r="P18" s="100">
        <f>VLOOKUP(O18,References!$B$7:$F$252,5,FALSE)</f>
        <v>68</v>
      </c>
    </row>
    <row r="19" spans="1:21" ht="16" x14ac:dyDescent="0.2">
      <c r="A19" s="904"/>
      <c r="B19" s="897"/>
      <c r="C19" s="905"/>
      <c r="D19" s="545">
        <v>-3.2477764384239598</v>
      </c>
      <c r="E19" s="543" t="s">
        <v>599</v>
      </c>
      <c r="F19" s="544" t="s">
        <v>571</v>
      </c>
      <c r="G19" s="531">
        <f t="shared" si="17"/>
        <v>1.4011755819050429</v>
      </c>
      <c r="H19" s="531">
        <f t="shared" si="18"/>
        <v>0.71368643081861072</v>
      </c>
      <c r="I19" s="531">
        <f t="shared" ref="I19:I25" si="19">IF(ISBLANK(D19),"",IF(E19="log",K19*R_atm*(M19+273.15)*0.001,IF(E19="dimensionless",K19*R_atm*(M19+273.15)*0.001,IF(E19="Pa-m3/mol",D19/101325,IF(E19="log Pa-m3/mol",(10^D19)/101325,IF(E19="mol/dm3-atm",1/(D19*1000),IF(E19="atm-m3/mol",D19,0)))))))</f>
        <v>1.3828527825364401E-5</v>
      </c>
      <c r="J19" s="531">
        <f t="shared" ref="J19:J83" si="20">IF(ISBLANK(D19),"",1/I19)</f>
        <v>72314.277602695467</v>
      </c>
      <c r="K19" s="531">
        <f t="shared" ref="K19:K25" si="21">IF(ISBLANK(D19),"",IF(E19="log",10^D19,IF(E19="dimensionless",D19,I19/(R_atm*(M19+273.15)*0.001))))</f>
        <v>5.6522786202945353E-4</v>
      </c>
      <c r="L19" s="531">
        <f t="shared" ref="L19:L83" si="22">IF(ISBLANK(D19),"",IF(E19="log",D19,IF(E19="dimensionless",LOG(D19),LOG(K19))))</f>
        <v>-3.2477764384239598</v>
      </c>
      <c r="M19" s="543">
        <v>25</v>
      </c>
      <c r="N19" s="542"/>
      <c r="O19" s="542" t="s">
        <v>600</v>
      </c>
      <c r="P19" s="100">
        <f>VLOOKUP(O19,References!$B$7:$F$252,5,FALSE)</f>
        <v>143</v>
      </c>
    </row>
    <row r="20" spans="1:21" ht="16" x14ac:dyDescent="0.2">
      <c r="A20" s="904"/>
      <c r="B20" s="897"/>
      <c r="C20" s="905"/>
      <c r="D20" s="545">
        <v>-2.7878250311291386</v>
      </c>
      <c r="E20" s="543" t="s">
        <v>599</v>
      </c>
      <c r="F20" s="544" t="s">
        <v>522</v>
      </c>
      <c r="G20" s="531">
        <f t="shared" si="17"/>
        <v>4.0405823982610025</v>
      </c>
      <c r="H20" s="531">
        <f t="shared" si="18"/>
        <v>0.24748907494879521</v>
      </c>
      <c r="I20" s="531">
        <f t="shared" si="19"/>
        <v>3.9877447799269858E-5</v>
      </c>
      <c r="J20" s="531">
        <f t="shared" si="20"/>
        <v>25076.830519186577</v>
      </c>
      <c r="K20" s="531">
        <f t="shared" si="21"/>
        <v>1.629952576833932E-3</v>
      </c>
      <c r="L20" s="531">
        <f t="shared" si="22"/>
        <v>-2.7878250311291386</v>
      </c>
      <c r="M20" s="543">
        <v>25</v>
      </c>
      <c r="N20" s="542"/>
      <c r="O20" s="542" t="s">
        <v>600</v>
      </c>
      <c r="P20" s="100">
        <f>VLOOKUP(O20,References!$B$7:$F$252,5,FALSE)</f>
        <v>143</v>
      </c>
      <c r="S20" s="542"/>
      <c r="T20" s="108"/>
      <c r="U20" s="109"/>
    </row>
    <row r="21" spans="1:21" ht="16" x14ac:dyDescent="0.2">
      <c r="A21" s="904"/>
      <c r="B21" s="897"/>
      <c r="C21" s="905"/>
      <c r="D21" s="545">
        <v>-2.3127627104401896</v>
      </c>
      <c r="E21" s="543" t="s">
        <v>599</v>
      </c>
      <c r="F21" s="544" t="s">
        <v>513</v>
      </c>
      <c r="G21" s="531">
        <f t="shared" si="17"/>
        <v>12.064415565687284</v>
      </c>
      <c r="H21" s="531">
        <f t="shared" si="18"/>
        <v>8.2888391447997353E-2</v>
      </c>
      <c r="I21" s="531">
        <f t="shared" si="19"/>
        <v>1.1906652421107655E-4</v>
      </c>
      <c r="J21" s="531">
        <f t="shared" si="20"/>
        <v>8398.666263468298</v>
      </c>
      <c r="K21" s="531">
        <f t="shared" si="21"/>
        <v>4.8667304118709771E-3</v>
      </c>
      <c r="L21" s="531">
        <f t="shared" si="22"/>
        <v>-2.3127627104401896</v>
      </c>
      <c r="M21" s="543">
        <v>25</v>
      </c>
      <c r="N21" s="542"/>
      <c r="O21" s="542" t="s">
        <v>600</v>
      </c>
      <c r="P21" s="100">
        <f>VLOOKUP(O21,References!$B$7:$F$252,5,FALSE)</f>
        <v>143</v>
      </c>
    </row>
    <row r="22" spans="1:21" ht="16" x14ac:dyDescent="0.2">
      <c r="A22" s="904"/>
      <c r="B22" s="897"/>
      <c r="C22" s="905"/>
      <c r="D22" s="545">
        <v>-3.1971099999999999</v>
      </c>
      <c r="E22" s="543" t="s">
        <v>599</v>
      </c>
      <c r="F22" s="544" t="s">
        <v>514</v>
      </c>
      <c r="G22" s="531">
        <f t="shared" si="17"/>
        <v>1.5745592179029781</v>
      </c>
      <c r="H22" s="531">
        <f t="shared" si="18"/>
        <v>0.63509837459896568</v>
      </c>
      <c r="I22" s="531">
        <f t="shared" si="19"/>
        <v>1.5539691269706236E-5</v>
      </c>
      <c r="J22" s="531">
        <f t="shared" si="20"/>
        <v>64351.34280623994</v>
      </c>
      <c r="K22" s="531">
        <f t="shared" si="21"/>
        <v>6.3517003284059722E-4</v>
      </c>
      <c r="L22" s="531">
        <f t="shared" si="22"/>
        <v>-3.1971099999999999</v>
      </c>
      <c r="M22" s="543">
        <v>25</v>
      </c>
      <c r="N22" s="542"/>
      <c r="O22" s="542" t="s">
        <v>600</v>
      </c>
      <c r="P22" s="100">
        <f>VLOOKUP(O22,References!$B$7:$F$252,5,FALSE)</f>
        <v>143</v>
      </c>
    </row>
    <row r="23" spans="1:21" ht="16" x14ac:dyDescent="0.2">
      <c r="A23" s="904"/>
      <c r="B23" s="897"/>
      <c r="C23" s="905"/>
      <c r="D23" s="543">
        <v>-3.23</v>
      </c>
      <c r="E23" s="543" t="s">
        <v>599</v>
      </c>
      <c r="F23" s="544" t="s">
        <v>522</v>
      </c>
      <c r="G23" s="531">
        <f t="shared" si="17"/>
        <v>1.4597181187805028</v>
      </c>
      <c r="H23" s="531">
        <f>IF(ISBLANK(D23),"",1/G23)</f>
        <v>0.68506377165163457</v>
      </c>
      <c r="I23" s="531">
        <f>IF(ISBLANK(D23),"",IF(E23="log",K23*R_atm*(M23+273.15)*0.001,IF(E23="dimensionless",K23*R_atm*(M23+273.15)*0.001,IF(E23="Pa-m3/mol",D23/101325,IF(E23="log Pa-m3/mol",(10^D23)/101325,IF(E23="mol/dm3-atm",1/(D23*1000),IF(E23="atm-m3/mol",D23,0)))))))</f>
        <v>1.4406297742714123E-5</v>
      </c>
      <c r="J23" s="531">
        <f>IF(ISBLANK(D23),"",1/I23)</f>
        <v>69414.086662601607</v>
      </c>
      <c r="K23" s="531">
        <f>IF(ISBLANK(D23),"",IF(E23="log",10^D23,IF(E23="dimensionless",D23,I23/(R_atm*(M23+273.15)*0.001))))</f>
        <v>5.8884365535558883E-4</v>
      </c>
      <c r="L23" s="531">
        <f>IF(ISBLANK(D23),"",IF(E23="log",D23,IF(E23="dimensionless",LOG(D23),LOG(K23))))</f>
        <v>-3.23</v>
      </c>
      <c r="M23" s="546">
        <v>25</v>
      </c>
      <c r="N23" s="542"/>
      <c r="O23" s="542" t="s">
        <v>523</v>
      </c>
      <c r="P23" s="100">
        <f>VLOOKUP(O23,References!$B$7:$F$252,5,FALSE)</f>
        <v>127</v>
      </c>
    </row>
    <row r="24" spans="1:21" x14ac:dyDescent="0.2">
      <c r="A24" s="904"/>
      <c r="B24" s="897"/>
      <c r="C24" s="905"/>
      <c r="D24" s="547">
        <v>0.3</v>
      </c>
      <c r="E24" s="547" t="s">
        <v>599</v>
      </c>
      <c r="F24" s="544" t="s">
        <v>601</v>
      </c>
      <c r="G24" s="531">
        <f t="shared" si="17"/>
        <v>4946.1695415928389</v>
      </c>
      <c r="H24" s="531">
        <f>IF(ISBLANK(D24),"",1/G24)</f>
        <v>2.0217665237531773E-4</v>
      </c>
      <c r="I24" s="531">
        <f>IF(ISBLANK(D24),"",IF(E24="log",K24*R_atm*(M24+273.15)*0.001,IF(E24="dimensionless",K24*R_atm*(M24+273.15)*0.001,IF(E24="Pa-m3/mol",D24/101325,IF(E24="log Pa-m3/mol",(10^D24)/101325,IF(E24="mol/dm3-atm",1/(D24*1000),IF(E24="atm-m3/mol",D24,0)))))))</f>
        <v>4.8814898017200667E-2</v>
      </c>
      <c r="J24" s="531">
        <f>IF(ISBLANK(D24),"",1/I24)</f>
        <v>20.485549301928991</v>
      </c>
      <c r="K24" s="531">
        <f>IF(ISBLANK(D24),"",IF(E24="log",10^D24,IF(E24="dimensionless",D24,I24/(R_atm*(M24+273.15)*0.001))))</f>
        <v>1.9952623149688797</v>
      </c>
      <c r="L24" s="531">
        <f>IF(ISBLANK(D24),"",IF(E24="log",D24,IF(E24="dimensionless",LOG(D24),LOG(K24))))</f>
        <v>0.3</v>
      </c>
      <c r="M24" s="547">
        <v>25</v>
      </c>
      <c r="N24" s="542"/>
      <c r="O24" s="542" t="s">
        <v>525</v>
      </c>
      <c r="P24" s="100">
        <f>VLOOKUP(O24,References!$B$7:$F$252,5,FALSE)</f>
        <v>61</v>
      </c>
    </row>
    <row r="25" spans="1:21" ht="16" x14ac:dyDescent="0.2">
      <c r="A25" s="904"/>
      <c r="B25" s="897"/>
      <c r="C25" s="905"/>
      <c r="D25" s="548">
        <v>4.99E-5</v>
      </c>
      <c r="E25" s="543" t="s">
        <v>594</v>
      </c>
      <c r="F25" s="544" t="s">
        <v>515</v>
      </c>
      <c r="G25" s="533">
        <f t="shared" si="17"/>
        <v>5.0561175</v>
      </c>
      <c r="H25" s="533">
        <f t="shared" si="18"/>
        <v>0.19778021377074406</v>
      </c>
      <c r="I25" s="533">
        <f t="shared" si="19"/>
        <v>4.99E-5</v>
      </c>
      <c r="J25" s="533">
        <f t="shared" si="20"/>
        <v>20040.080160320642</v>
      </c>
      <c r="K25" s="533">
        <f t="shared" si="21"/>
        <v>2.0396148217264403E-3</v>
      </c>
      <c r="L25" s="531">
        <f t="shared" si="22"/>
        <v>-2.690451840707988</v>
      </c>
      <c r="M25" s="543">
        <v>25</v>
      </c>
      <c r="N25" s="542"/>
      <c r="O25" s="542" t="s">
        <v>511</v>
      </c>
      <c r="P25" s="100">
        <f>VLOOKUP(O25,References!$B$7:$F$252,5,FALSE)</f>
        <v>36</v>
      </c>
    </row>
    <row r="26" spans="1:21" ht="18" customHeight="1" x14ac:dyDescent="0.2">
      <c r="A26" s="898" t="s">
        <v>51</v>
      </c>
      <c r="B26" s="900" t="s">
        <v>52</v>
      </c>
      <c r="C26" s="902" t="s">
        <v>53</v>
      </c>
      <c r="D26" s="549">
        <v>1.5</v>
      </c>
      <c r="E26" s="549" t="s">
        <v>597</v>
      </c>
      <c r="F26" s="550" t="s">
        <v>27</v>
      </c>
      <c r="G26" s="531">
        <f t="shared" ref="G26:G90" si="23">IF(ISBLANK(D26),"",IF(E26="log",K26*R_Pa*(M26+273.15)*0.001,IF(E26="dimensionless",K26*R_Pa*(M26+273.15)*0.001,IF(E26="Pa-m3/mol",D26,IF(E26="log Pa-m3/mol",10^D26,IF(E26="mol/dm3-atm",I26*101325,IF(E26="atm-m3/mol",I26*101325,0)))))))</f>
        <v>1.5</v>
      </c>
      <c r="H26" s="531">
        <f t="shared" si="18"/>
        <v>0.66666666666666663</v>
      </c>
      <c r="I26" s="531">
        <f t="shared" ref="I26:I90" si="24">IF(ISBLANK(D26),"",IF(E26="log",K26*R_atm*(M26+273.15)*0.001,IF(E26="dimensionless",K26*R_atm*(M26+273.15)*0.001,IF(E26="Pa-m3/mol",D26/101325,IF(E26="log Pa-m3/mol",(10^D26)/101325,IF(E26="mol/dm3-atm",1/(D26*1000),IF(E26="atm-m3/mol",D26,0)))))))</f>
        <v>1.4803849000740193E-5</v>
      </c>
      <c r="J26" s="531">
        <f t="shared" si="20"/>
        <v>67550</v>
      </c>
      <c r="K26" s="531">
        <f t="shared" ref="K26:K90" si="25">IF(ISBLANK(D26),"",IF(E26="log",10^D26,IF(E26="dimensionless",D26,I26/(R_atm*(M26+273.15)*0.001))))</f>
        <v>6.0509318317655012E-4</v>
      </c>
      <c r="L26" s="538">
        <f t="shared" si="22"/>
        <v>-3.2181777396894273</v>
      </c>
      <c r="M26" s="549">
        <v>25</v>
      </c>
      <c r="N26" s="551"/>
      <c r="O26" s="551" t="s">
        <v>567</v>
      </c>
      <c r="P26" s="121">
        <f>VLOOKUP(O26,References!$B$7:$F$252,5,FALSE)</f>
        <v>68</v>
      </c>
    </row>
    <row r="27" spans="1:21" ht="16" x14ac:dyDescent="0.2">
      <c r="A27" s="904"/>
      <c r="B27" s="897"/>
      <c r="C27" s="905"/>
      <c r="D27" s="547">
        <v>-2.9</v>
      </c>
      <c r="E27" s="543" t="s">
        <v>599</v>
      </c>
      <c r="F27" s="544" t="s">
        <v>522</v>
      </c>
      <c r="G27" s="531">
        <f>IF(ISBLANK(D27),"",IF(E27="log",K27*R_Pa*(M27+273.15)*0.001,IF(E27="dimensionless",K27*R_Pa*(M27+273.15)*0.001,IF(E27="Pa-m3/mol",D27,IF(E27="log Pa-m3/mol",10^D27,IF(E27="mol/dm3-atm",I27*101325,IF(E27="atm-m3/mol",I27*101325,0)))))))</f>
        <v>3.1208219993122297</v>
      </c>
      <c r="H27" s="531">
        <f>IF(ISBLANK(D27),"",1/G27)</f>
        <v>0.32042840002421835</v>
      </c>
      <c r="I27" s="531">
        <f>IF(ISBLANK(D27),"",IF(E27="log",K27*R_atm*(M27+273.15)*0.001,IF(E27="dimensionless",K27*R_atm*(M27+273.15)*0.001,IF(E27="Pa-m3/mol",D27/101325,IF(E27="log Pa-m3/mol",(10^D27)/101325,IF(E27="mol/dm3-atm",1/(D27*1000),IF(E27="atm-m3/mol",D27,0)))))))</f>
        <v>3.0800118424004357E-5</v>
      </c>
      <c r="J27" s="531">
        <f>IF(ISBLANK(D27),"",1/I27)</f>
        <v>32467.4076324538</v>
      </c>
      <c r="K27" s="531">
        <f>IF(ISBLANK(D27),"",IF(E27="log",10^D27,IF(E27="dimensionless",D27,I27/(R_atm*(M27+273.15)*0.001))))</f>
        <v>1.2589254117941662E-3</v>
      </c>
      <c r="L27" s="531">
        <f>IF(ISBLANK(D27),"",IF(E27="log",D27,IF(E27="dimensionless",LOG(D27),LOG(K27))))</f>
        <v>-2.9</v>
      </c>
      <c r="M27" s="546">
        <v>25</v>
      </c>
      <c r="N27" s="542"/>
      <c r="O27" s="542" t="s">
        <v>523</v>
      </c>
      <c r="P27" s="100">
        <f>VLOOKUP(O27,References!$B$7:$F$252,5,FALSE)</f>
        <v>127</v>
      </c>
    </row>
    <row r="28" spans="1:21" x14ac:dyDescent="0.2">
      <c r="A28" s="904"/>
      <c r="B28" s="897"/>
      <c r="C28" s="905"/>
      <c r="D28" s="547">
        <v>0.86</v>
      </c>
      <c r="E28" s="547" t="s">
        <v>599</v>
      </c>
      <c r="F28" s="544" t="s">
        <v>601</v>
      </c>
      <c r="G28" s="531">
        <f t="shared" si="23"/>
        <v>17958.456157246525</v>
      </c>
      <c r="H28" s="531">
        <f t="shared" si="18"/>
        <v>5.5684073911692234E-5</v>
      </c>
      <c r="I28" s="531">
        <f t="shared" si="24"/>
        <v>0.177236182158861</v>
      </c>
      <c r="J28" s="531">
        <f t="shared" si="20"/>
        <v>5.6421887891021951</v>
      </c>
      <c r="K28" s="531">
        <f t="shared" si="25"/>
        <v>7.2443596007499025</v>
      </c>
      <c r="L28" s="531">
        <f t="shared" si="22"/>
        <v>0.86</v>
      </c>
      <c r="M28" s="547">
        <v>25</v>
      </c>
      <c r="N28" s="542"/>
      <c r="O28" s="542" t="s">
        <v>525</v>
      </c>
      <c r="P28" s="100">
        <f>VLOOKUP(O28,References!$B$7:$F$252,5,FALSE)</f>
        <v>61</v>
      </c>
    </row>
    <row r="29" spans="1:21" ht="16" x14ac:dyDescent="0.2">
      <c r="A29" s="899"/>
      <c r="B29" s="901"/>
      <c r="C29" s="903"/>
      <c r="D29" s="552">
        <v>2.9700000000000001E-10</v>
      </c>
      <c r="E29" s="553" t="s">
        <v>594</v>
      </c>
      <c r="F29" s="554" t="s">
        <v>515</v>
      </c>
      <c r="G29" s="533">
        <f t="shared" si="23"/>
        <v>3.0093525000000001E-5</v>
      </c>
      <c r="H29" s="533">
        <f t="shared" si="18"/>
        <v>33229.739620067769</v>
      </c>
      <c r="I29" s="533">
        <f t="shared" si="24"/>
        <v>2.9700000000000001E-10</v>
      </c>
      <c r="J29" s="533">
        <f t="shared" si="20"/>
        <v>3367003367.0033669</v>
      </c>
      <c r="K29" s="533">
        <f t="shared" si="25"/>
        <v>1.2139591223502059E-8</v>
      </c>
      <c r="L29" s="533">
        <f t="shared" si="22"/>
        <v>-7.9157959370141651</v>
      </c>
      <c r="M29" s="553">
        <v>25</v>
      </c>
      <c r="N29" s="555"/>
      <c r="O29" s="555" t="s">
        <v>511</v>
      </c>
      <c r="P29" s="122">
        <f>VLOOKUP(O29,References!$B$7:$F$252,5,FALSE)</f>
        <v>36</v>
      </c>
    </row>
    <row r="30" spans="1:21" ht="18" customHeight="1" x14ac:dyDescent="0.2">
      <c r="A30" s="904" t="s">
        <v>57</v>
      </c>
      <c r="B30" s="897" t="s">
        <v>58</v>
      </c>
      <c r="C30" s="905" t="s">
        <v>59</v>
      </c>
      <c r="D30" s="543">
        <v>0.92800000000000005</v>
      </c>
      <c r="E30" s="543" t="s">
        <v>597</v>
      </c>
      <c r="F30" s="544" t="s">
        <v>27</v>
      </c>
      <c r="G30" s="531">
        <f t="shared" ref="G30:G35" si="26">IF(ISBLANK(D30),"",IF(E30="log",K30*R_Pa*(M30+273.15)*0.001,IF(E30="dimensionless",K30*R_Pa*(M30+273.15)*0.001,IF(E30="Pa-m3/mol",D30,IF(E30="log Pa-m3/mol",10^D30,IF(E30="mol/dm3-atm",I30*101325,IF(E30="atm-m3/mol",I30*101325,0)))))))</f>
        <v>0.92800000000000005</v>
      </c>
      <c r="H30" s="531">
        <f t="shared" ref="H30:H35" si="27">IF(ISBLANK(D30),"",1/G30)</f>
        <v>1.0775862068965516</v>
      </c>
      <c r="I30" s="531">
        <f t="shared" ref="I30:I35" si="28">IF(ISBLANK(D30),"",IF(E30="log",K30*R_atm*(M30+273.15)*0.001,IF(E30="dimensionless",K30*R_atm*(M30+273.15)*0.001,IF(E30="Pa-m3/mol",D30/101325,IF(E30="log Pa-m3/mol",(10^D30)/101325,IF(E30="mol/dm3-atm",1/(D30*1000),IF(E30="atm-m3/mol",D30,0)))))))</f>
        <v>9.1586479151245987E-6</v>
      </c>
      <c r="J30" s="531">
        <f t="shared" ref="J30:J35" si="29">IF(ISBLANK(D30),"",1/I30)</f>
        <v>109186.4224137931</v>
      </c>
      <c r="K30" s="531">
        <f t="shared" ref="K30:K35" si="30">IF(ISBLANK(D30),"",IF(E30="log",10^D30,IF(E30="dimensionless",D30,I30/(R_atm*(M30+273.15)*0.001))))</f>
        <v>3.7435098265855898E-4</v>
      </c>
      <c r="L30" s="531">
        <f t="shared" ref="L30:L35" si="31">IF(ISBLANK(D30),"",IF(E30="log",D30,IF(E30="dimensionless",LOG(D30),LOG(K30))))</f>
        <v>-3.4267210225262463</v>
      </c>
      <c r="M30" s="543">
        <v>25</v>
      </c>
      <c r="N30" s="542"/>
      <c r="O30" s="542" t="s">
        <v>567</v>
      </c>
      <c r="P30" s="100">
        <f>VLOOKUP(O30,References!$B$7:$F$252,5,FALSE)</f>
        <v>68</v>
      </c>
    </row>
    <row r="31" spans="1:21" ht="16" x14ac:dyDescent="0.2">
      <c r="A31" s="904"/>
      <c r="B31" s="897"/>
      <c r="C31" s="905"/>
      <c r="D31" s="543">
        <v>-3.04</v>
      </c>
      <c r="E31" s="543" t="s">
        <v>599</v>
      </c>
      <c r="F31" s="544" t="s">
        <v>522</v>
      </c>
      <c r="G31" s="531">
        <f t="shared" si="26"/>
        <v>2.2608356812949046</v>
      </c>
      <c r="H31" s="531">
        <f t="shared" si="27"/>
        <v>0.44231432132530973</v>
      </c>
      <c r="I31" s="531">
        <f t="shared" si="28"/>
        <v>2.2312713360916981E-5</v>
      </c>
      <c r="J31" s="531">
        <f t="shared" si="29"/>
        <v>44817.498608286842</v>
      </c>
      <c r="K31" s="531">
        <f t="shared" si="30"/>
        <v>9.1201083935590866E-4</v>
      </c>
      <c r="L31" s="531">
        <f t="shared" si="31"/>
        <v>-3.04</v>
      </c>
      <c r="M31" s="543">
        <v>25</v>
      </c>
      <c r="N31" s="542"/>
      <c r="O31" s="542" t="s">
        <v>570</v>
      </c>
      <c r="P31" s="100">
        <f>VLOOKUP(O31,References!$B$7:$F$252,5,FALSE)</f>
        <v>9</v>
      </c>
    </row>
    <row r="32" spans="1:21" ht="16" x14ac:dyDescent="0.2">
      <c r="A32" s="904"/>
      <c r="B32" s="897"/>
      <c r="C32" s="905"/>
      <c r="D32" s="543">
        <v>-2.48</v>
      </c>
      <c r="E32" s="543" t="s">
        <v>599</v>
      </c>
      <c r="F32" s="544" t="s">
        <v>571</v>
      </c>
      <c r="G32" s="531">
        <f t="shared" si="26"/>
        <v>8.2085982131939161</v>
      </c>
      <c r="H32" s="531">
        <f t="shared" si="27"/>
        <v>0.12182347996917077</v>
      </c>
      <c r="I32" s="531">
        <f t="shared" si="28"/>
        <v>8.1012565637245948E-5</v>
      </c>
      <c r="J32" s="531">
        <f t="shared" si="29"/>
        <v>12343.764107876184</v>
      </c>
      <c r="K32" s="531">
        <f t="shared" si="30"/>
        <v>3.3113112148259105E-3</v>
      </c>
      <c r="L32" s="531">
        <f t="shared" si="31"/>
        <v>-2.48</v>
      </c>
      <c r="M32" s="543">
        <v>25</v>
      </c>
      <c r="N32" s="542"/>
      <c r="O32" s="542" t="s">
        <v>570</v>
      </c>
      <c r="P32" s="100">
        <f>VLOOKUP(O32,References!$B$7:$F$252,5,FALSE)</f>
        <v>9</v>
      </c>
    </row>
    <row r="33" spans="1:16" ht="16" x14ac:dyDescent="0.2">
      <c r="A33" s="904"/>
      <c r="B33" s="897"/>
      <c r="C33" s="905"/>
      <c r="D33" s="543">
        <v>-2.58</v>
      </c>
      <c r="E33" s="543" t="s">
        <v>599</v>
      </c>
      <c r="F33" s="544" t="s">
        <v>571</v>
      </c>
      <c r="G33" s="531">
        <f t="shared" si="26"/>
        <v>6.520321328247209</v>
      </c>
      <c r="H33" s="531">
        <f t="shared" si="27"/>
        <v>0.15336667468638693</v>
      </c>
      <c r="I33" s="531">
        <f t="shared" si="28"/>
        <v>6.4350568253118516E-5</v>
      </c>
      <c r="J33" s="531">
        <f t="shared" si="29"/>
        <v>15539.878312598097</v>
      </c>
      <c r="K33" s="531">
        <f t="shared" si="30"/>
        <v>2.6302679918953791E-3</v>
      </c>
      <c r="L33" s="531">
        <f t="shared" si="31"/>
        <v>-2.58</v>
      </c>
      <c r="M33" s="546">
        <v>25</v>
      </c>
      <c r="N33" s="542"/>
      <c r="O33" s="542" t="s">
        <v>602</v>
      </c>
      <c r="P33" s="100">
        <f>VLOOKUP(O33,References!$B$7:$F$252,5,FALSE)</f>
        <v>101</v>
      </c>
    </row>
    <row r="34" spans="1:16" ht="16" x14ac:dyDescent="0.2">
      <c r="A34" s="904"/>
      <c r="B34" s="897"/>
      <c r="C34" s="905"/>
      <c r="D34" s="543">
        <v>-0.87</v>
      </c>
      <c r="E34" s="543" t="s">
        <v>599</v>
      </c>
      <c r="F34" s="544" t="s">
        <v>513</v>
      </c>
      <c r="G34" s="531">
        <f t="shared" si="26"/>
        <v>334.40210204732801</v>
      </c>
      <c r="H34" s="531">
        <f t="shared" si="27"/>
        <v>2.9904118242010027E-3</v>
      </c>
      <c r="I34" s="531">
        <f t="shared" si="28"/>
        <v>3.3002921494925167E-3</v>
      </c>
      <c r="J34" s="531">
        <f t="shared" si="29"/>
        <v>303.00347808716549</v>
      </c>
      <c r="K34" s="531">
        <f t="shared" si="30"/>
        <v>0.13489628825916533</v>
      </c>
      <c r="L34" s="531">
        <f t="shared" si="31"/>
        <v>-0.87</v>
      </c>
      <c r="M34" s="546">
        <v>25</v>
      </c>
      <c r="N34" s="542"/>
      <c r="O34" s="542" t="s">
        <v>602</v>
      </c>
      <c r="P34" s="100">
        <f>VLOOKUP(O34,References!$B$7:$F$252,5,FALSE)</f>
        <v>101</v>
      </c>
    </row>
    <row r="35" spans="1:16" ht="16" x14ac:dyDescent="0.2">
      <c r="A35" s="904"/>
      <c r="B35" s="897"/>
      <c r="C35" s="905"/>
      <c r="D35" s="543">
        <v>-2.58</v>
      </c>
      <c r="E35" s="543" t="s">
        <v>599</v>
      </c>
      <c r="F35" s="544" t="s">
        <v>522</v>
      </c>
      <c r="G35" s="531">
        <f t="shared" si="26"/>
        <v>6.520321328247209</v>
      </c>
      <c r="H35" s="531">
        <f t="shared" si="27"/>
        <v>0.15336667468638693</v>
      </c>
      <c r="I35" s="531">
        <f t="shared" si="28"/>
        <v>6.4350568253118516E-5</v>
      </c>
      <c r="J35" s="531">
        <f t="shared" si="29"/>
        <v>15539.878312598097</v>
      </c>
      <c r="K35" s="531">
        <f t="shared" si="30"/>
        <v>2.6302679918953791E-3</v>
      </c>
      <c r="L35" s="531">
        <f t="shared" si="31"/>
        <v>-2.58</v>
      </c>
      <c r="M35" s="546">
        <v>25</v>
      </c>
      <c r="N35" s="542"/>
      <c r="O35" s="542" t="s">
        <v>523</v>
      </c>
      <c r="P35" s="100">
        <f>VLOOKUP(O35,References!$B$7:$F$252,5,FALSE)</f>
        <v>127</v>
      </c>
    </row>
    <row r="36" spans="1:16" x14ac:dyDescent="0.2">
      <c r="A36" s="904"/>
      <c r="B36" s="897"/>
      <c r="C36" s="905"/>
      <c r="D36" s="547">
        <v>1.43</v>
      </c>
      <c r="E36" s="547" t="s">
        <v>599</v>
      </c>
      <c r="F36" s="544" t="s">
        <v>601</v>
      </c>
      <c r="G36" s="531">
        <f t="shared" si="23"/>
        <v>66721.991226141137</v>
      </c>
      <c r="H36" s="531">
        <f t="shared" si="18"/>
        <v>1.498756229577585E-5</v>
      </c>
      <c r="I36" s="531">
        <f t="shared" si="24"/>
        <v>0.65849485542700614</v>
      </c>
      <c r="J36" s="531">
        <f t="shared" si="20"/>
        <v>1.5186147496194822</v>
      </c>
      <c r="K36" s="531">
        <f t="shared" si="25"/>
        <v>26.915348039269158</v>
      </c>
      <c r="L36" s="531">
        <f t="shared" si="22"/>
        <v>1.43</v>
      </c>
      <c r="M36" s="547">
        <v>25</v>
      </c>
      <c r="N36" s="542"/>
      <c r="O36" s="542" t="s">
        <v>525</v>
      </c>
      <c r="P36" s="100">
        <f>VLOOKUP(O36,References!$B$7:$F$252,5,FALSE)</f>
        <v>61</v>
      </c>
    </row>
    <row r="37" spans="1:16" ht="16" x14ac:dyDescent="0.2">
      <c r="A37" s="904"/>
      <c r="B37" s="897"/>
      <c r="C37" s="905"/>
      <c r="D37" s="553">
        <v>2.3500000000000002E-10</v>
      </c>
      <c r="E37" s="553" t="s">
        <v>594</v>
      </c>
      <c r="F37" s="554" t="s">
        <v>515</v>
      </c>
      <c r="G37" s="533">
        <f t="shared" si="23"/>
        <v>2.3811375000000002E-5</v>
      </c>
      <c r="H37" s="533">
        <f t="shared" si="18"/>
        <v>41996.734753872886</v>
      </c>
      <c r="I37" s="533">
        <f t="shared" si="24"/>
        <v>2.3500000000000002E-10</v>
      </c>
      <c r="J37" s="533">
        <f t="shared" si="20"/>
        <v>4255319148.9361701</v>
      </c>
      <c r="K37" s="533">
        <f t="shared" si="25"/>
        <v>9.6054004630403502E-9</v>
      </c>
      <c r="L37" s="533">
        <f t="shared" si="22"/>
        <v>-8.0174845240596415</v>
      </c>
      <c r="M37" s="553">
        <v>25</v>
      </c>
      <c r="N37" s="555"/>
      <c r="O37" s="555" t="s">
        <v>511</v>
      </c>
      <c r="P37" s="122">
        <f>VLOOKUP(O37,References!$B$7:$F$252,5,FALSE)</f>
        <v>36</v>
      </c>
    </row>
    <row r="38" spans="1:16" ht="18" customHeight="1" x14ac:dyDescent="0.2">
      <c r="A38" s="898" t="s">
        <v>66</v>
      </c>
      <c r="B38" s="900" t="s">
        <v>67</v>
      </c>
      <c r="C38" s="902" t="s">
        <v>68</v>
      </c>
      <c r="D38" s="545">
        <v>0.57299999999999995</v>
      </c>
      <c r="E38" s="543" t="s">
        <v>597</v>
      </c>
      <c r="F38" s="544" t="s">
        <v>27</v>
      </c>
      <c r="G38" s="531">
        <f t="shared" si="23"/>
        <v>0.57299999999999995</v>
      </c>
      <c r="H38" s="531">
        <f t="shared" si="18"/>
        <v>1.7452006980802794</v>
      </c>
      <c r="I38" s="531">
        <f t="shared" si="24"/>
        <v>5.6550703182827527E-6</v>
      </c>
      <c r="J38" s="531">
        <f t="shared" si="20"/>
        <v>176832.46073298433</v>
      </c>
      <c r="K38" s="531">
        <f t="shared" si="25"/>
        <v>2.311455959734421E-4</v>
      </c>
      <c r="L38" s="531">
        <f t="shared" si="22"/>
        <v>-3.6361143767777184</v>
      </c>
      <c r="M38" s="543">
        <v>25</v>
      </c>
      <c r="N38" s="542"/>
      <c r="O38" s="542" t="s">
        <v>567</v>
      </c>
      <c r="P38" s="100">
        <f>VLOOKUP(O38,References!$B$7:$F$252,5,FALSE)</f>
        <v>68</v>
      </c>
    </row>
    <row r="39" spans="1:16" x14ac:dyDescent="0.2">
      <c r="A39" s="904"/>
      <c r="B39" s="897"/>
      <c r="C39" s="905"/>
      <c r="D39" s="543">
        <v>-2.66</v>
      </c>
      <c r="E39" s="547" t="s">
        <v>599</v>
      </c>
      <c r="F39" s="544" t="s">
        <v>522</v>
      </c>
      <c r="G39" s="531">
        <f t="shared" si="23"/>
        <v>5.4233670567840742</v>
      </c>
      <c r="H39" s="531">
        <f t="shared" si="18"/>
        <v>0.1843872984309817</v>
      </c>
      <c r="I39" s="531">
        <f t="shared" si="24"/>
        <v>5.3524471322813661E-5</v>
      </c>
      <c r="J39" s="531">
        <f t="shared" si="20"/>
        <v>18683.043013519153</v>
      </c>
      <c r="K39" s="531">
        <f t="shared" si="25"/>
        <v>2.1877616239495499E-3</v>
      </c>
      <c r="L39" s="531">
        <f t="shared" si="22"/>
        <v>-2.66</v>
      </c>
      <c r="M39" s="547">
        <v>25</v>
      </c>
      <c r="N39" s="542"/>
      <c r="O39" s="542" t="s">
        <v>570</v>
      </c>
      <c r="P39" s="100">
        <f>VLOOKUP(O39,References!$B$7:$F$252,5,FALSE)</f>
        <v>9</v>
      </c>
    </row>
    <row r="40" spans="1:16" x14ac:dyDescent="0.2">
      <c r="A40" s="904"/>
      <c r="B40" s="897"/>
      <c r="C40" s="905"/>
      <c r="D40" s="543">
        <v>-2.15</v>
      </c>
      <c r="E40" s="547" t="s">
        <v>599</v>
      </c>
      <c r="F40" s="544" t="s">
        <v>571</v>
      </c>
      <c r="G40" s="531">
        <f t="shared" si="23"/>
        <v>17.549671787764357</v>
      </c>
      <c r="H40" s="531">
        <f t="shared" si="18"/>
        <v>5.698112261547824E-2</v>
      </c>
      <c r="I40" s="531">
        <f t="shared" si="24"/>
        <v>1.7320179410574313E-4</v>
      </c>
      <c r="J40" s="531">
        <f t="shared" si="20"/>
        <v>5773.6122490133112</v>
      </c>
      <c r="K40" s="531">
        <f t="shared" si="25"/>
        <v>7.0794578438413795E-3</v>
      </c>
      <c r="L40" s="531">
        <f t="shared" si="22"/>
        <v>-2.15</v>
      </c>
      <c r="M40" s="547">
        <v>25</v>
      </c>
      <c r="N40" s="542"/>
      <c r="O40" s="542" t="s">
        <v>570</v>
      </c>
      <c r="P40" s="100">
        <f>VLOOKUP(O40,References!$B$7:$F$252,5,FALSE)</f>
        <v>9</v>
      </c>
    </row>
    <row r="41" spans="1:16" ht="16" x14ac:dyDescent="0.2">
      <c r="A41" s="904"/>
      <c r="B41" s="897"/>
      <c r="C41" s="905"/>
      <c r="D41" s="543">
        <v>-2.0299999999999998</v>
      </c>
      <c r="E41" s="543" t="s">
        <v>599</v>
      </c>
      <c r="F41" s="544" t="s">
        <v>571</v>
      </c>
      <c r="G41" s="531">
        <f>IF(ISBLANK(D41),"",IF(E41="log",K41*R_Pa*(M41+273.15)*0.001,IF(E41="dimensionless",K41*R_Pa*(M41+273.15)*0.001,IF(E41="Pa-m3/mol",D41,IF(E41="log Pa-m3/mol",10^D41,IF(E41="mol/dm3-atm",I41*101325,IF(E41="atm-m3/mol",I41*101325,0)))))))</f>
        <v>23.134973093673626</v>
      </c>
      <c r="H41" s="531">
        <f>IF(ISBLANK(D41),"",1/G41)</f>
        <v>4.3224601816090072E-2</v>
      </c>
      <c r="I41" s="531">
        <f>IF(ISBLANK(D41),"",IF(E41="log",K41*R_atm*(M41+273.15)*0.001,IF(E41="dimensionless",K41*R_atm*(M41+273.15)*0.001,IF(E41="Pa-m3/mol",D41/101325,IF(E41="log Pa-m3/mol",(10^D41)/101325,IF(E41="mol/dm3-atm",1/(D41*1000),IF(E41="atm-m3/mol",D41,0)))))))</f>
        <v>2.2832443220995521E-4</v>
      </c>
      <c r="J41" s="531">
        <f>IF(ISBLANK(D41),"",1/I41)</f>
        <v>4379.7327790153104</v>
      </c>
      <c r="K41" s="531">
        <f>IF(ISBLANK(D41),"",IF(E41="log",10^D41,IF(E41="dimensionless",D41,I41/(R_atm*(M41+273.15)*0.001))))</f>
        <v>9.3325430079699099E-3</v>
      </c>
      <c r="L41" s="531">
        <f>IF(ISBLANK(D41),"",IF(E41="log",D41,IF(E41="dimensionless",LOG(D41),LOG(K41))))</f>
        <v>-2.0299999999999998</v>
      </c>
      <c r="M41" s="546">
        <v>25</v>
      </c>
      <c r="N41" s="542"/>
      <c r="O41" s="542" t="s">
        <v>602</v>
      </c>
      <c r="P41" s="100">
        <f>VLOOKUP(O41,References!$B$7:$F$252,5,FALSE)</f>
        <v>101</v>
      </c>
    </row>
    <row r="42" spans="1:16" ht="16" x14ac:dyDescent="0.2">
      <c r="A42" s="904"/>
      <c r="B42" s="897"/>
      <c r="C42" s="905"/>
      <c r="D42" s="543">
        <v>-0.15</v>
      </c>
      <c r="E42" s="543" t="s">
        <v>599</v>
      </c>
      <c r="F42" s="544" t="s">
        <v>513</v>
      </c>
      <c r="G42" s="531">
        <f>IF(ISBLANK(D42),"",IF(E42="log",K42*R_Pa*(M42+273.15)*0.001,IF(E42="dimensionless",K42*R_Pa*(M42+273.15)*0.001,IF(E42="Pa-m3/mol",D42,IF(E42="log Pa-m3/mol",10^D42,IF(E42="mol/dm3-atm",I42*101325,IF(E42="atm-m3/mol",I42*101325,0)))))))</f>
        <v>1754.9671787764353</v>
      </c>
      <c r="H42" s="531">
        <f>IF(ISBLANK(D42),"",1/G42)</f>
        <v>5.6981122615478255E-4</v>
      </c>
      <c r="I42" s="531">
        <f>IF(ISBLANK(D42),"",IF(E42="log",K42*R_atm*(M42+273.15)*0.001,IF(E42="dimensionless",K42*R_atm*(M42+273.15)*0.001,IF(E42="Pa-m3/mol",D42/101325,IF(E42="log Pa-m3/mol",(10^D42)/101325,IF(E42="mol/dm3-atm",1/(D42*1000),IF(E42="atm-m3/mol",D42,0)))))))</f>
        <v>1.7320179410574312E-2</v>
      </c>
      <c r="J42" s="531">
        <f>IF(ISBLANK(D42),"",1/I42)</f>
        <v>57.736122490133113</v>
      </c>
      <c r="K42" s="531">
        <f>IF(ISBLANK(D42),"",IF(E42="log",10^D42,IF(E42="dimensionless",D42,I42/(R_atm*(M42+273.15)*0.001))))</f>
        <v>0.70794578438413791</v>
      </c>
      <c r="L42" s="531">
        <f>IF(ISBLANK(D42),"",IF(E42="log",D42,IF(E42="dimensionless",LOG(D42),LOG(K42))))</f>
        <v>-0.15</v>
      </c>
      <c r="M42" s="546">
        <v>25</v>
      </c>
      <c r="N42" s="542"/>
      <c r="O42" s="542" t="s">
        <v>602</v>
      </c>
      <c r="P42" s="100">
        <f>VLOOKUP(O42,References!$B$7:$F$252,5,FALSE)</f>
        <v>101</v>
      </c>
    </row>
    <row r="43" spans="1:16" ht="16" x14ac:dyDescent="0.2">
      <c r="A43" s="904"/>
      <c r="B43" s="897"/>
      <c r="C43" s="905"/>
      <c r="D43" s="543">
        <v>-2.25</v>
      </c>
      <c r="E43" s="543" t="s">
        <v>599</v>
      </c>
      <c r="F43" s="544" t="s">
        <v>522</v>
      </c>
      <c r="G43" s="531">
        <f>IF(ISBLANK(D43),"",IF(E43="log",K43*R_Pa*(M43+273.15)*0.001,IF(E43="dimensionless",K43*R_Pa*(M43+273.15)*0.001,IF(E43="Pa-m3/mol",D43,IF(E43="log Pa-m3/mol",10^D43,IF(E43="mol/dm3-atm",I43*101325,IF(E43="atm-m3/mol",I43*101325,0)))))))</f>
        <v>13.940199811165375</v>
      </c>
      <c r="H43" s="531">
        <f>IF(ISBLANK(D43),"",1/G43)</f>
        <v>7.1734983253184934E-2</v>
      </c>
      <c r="I43" s="531">
        <f>IF(ISBLANK(D43),"",IF(E43="log",K43*R_atm*(M43+273.15)*0.001,IF(E43="dimensionless",K43*R_atm*(M43+273.15)*0.001,IF(E43="Pa-m3/mol",D43/101325,IF(E43="log Pa-m3/mol",(10^D43)/101325,IF(E43="mol/dm3-atm",1/(D43*1000),IF(E43="atm-m3/mol",D43,0)))))))</f>
        <v>1.3757907536309327E-4</v>
      </c>
      <c r="J43" s="531">
        <f>IF(ISBLANK(D43),"",1/I43)</f>
        <v>7268.547178128938</v>
      </c>
      <c r="K43" s="531">
        <f>IF(ISBLANK(D43),"",IF(E43="log",10^D43,IF(E43="dimensionless",D43,I43/(R_atm*(M43+273.15)*0.001))))</f>
        <v>5.6234132519034866E-3</v>
      </c>
      <c r="L43" s="531">
        <f>IF(ISBLANK(D43),"",IF(E43="log",D43,IF(E43="dimensionless",LOG(D43),LOG(K43))))</f>
        <v>-2.25</v>
      </c>
      <c r="M43" s="546">
        <v>25</v>
      </c>
      <c r="N43" s="542"/>
      <c r="O43" s="542" t="s">
        <v>523</v>
      </c>
      <c r="P43" s="100">
        <f>VLOOKUP(O43,References!$B$7:$F$252,5,FALSE)</f>
        <v>127</v>
      </c>
    </row>
    <row r="44" spans="1:16" x14ac:dyDescent="0.2">
      <c r="A44" s="904"/>
      <c r="B44" s="897"/>
      <c r="C44" s="905"/>
      <c r="D44" s="547">
        <v>2</v>
      </c>
      <c r="E44" s="547" t="s">
        <v>599</v>
      </c>
      <c r="F44" s="544" t="s">
        <v>601</v>
      </c>
      <c r="G44" s="531">
        <f>IF(ISBLANK(D44),"",IF(E44="log",K44*R_Pa*(M44+273.15)*0.001,IF(E44="dimensionless",K44*R_Pa*(M44+273.15)*0.001,IF(E44="Pa-m3/mol",D44,IF(E44="log Pa-m3/mol",10^D44,IF(E44="mol/dm3-atm",I44*101325,IF(E44="atm-m3/mol",I44*101325,0)))))))</f>
        <v>247895.70296023885</v>
      </c>
      <c r="H44" s="531">
        <f>IF(ISBLANK(D44),"",1/G44)</f>
        <v>4.0339545545103483E-6</v>
      </c>
      <c r="I44" s="531">
        <f>IF(ISBLANK(D44),"",IF(E44="log",K44*R_atm*(M44+273.15)*0.001,IF(E44="dimensionless",K44*R_atm*(M44+273.15)*0.001,IF(E44="Pa-m3/mol",D44/101325,IF(E44="log Pa-m3/mol",(10^D44)/101325,IF(E44="mol/dm3-atm",1/(D44*1000),IF(E44="atm-m3/mol",D44,0)))))))</f>
        <v>2.4465403697038224</v>
      </c>
      <c r="J44" s="531">
        <f>IF(ISBLANK(D44),"",1/I44)</f>
        <v>0.40874044523575948</v>
      </c>
      <c r="K44" s="531">
        <f>IF(ISBLANK(D44),"",IF(E44="log",10^D44,IF(E44="dimensionless",D44,I44/(R_atm*(M44+273.15)*0.001))))</f>
        <v>100</v>
      </c>
      <c r="L44" s="531">
        <f>IF(ISBLANK(D44),"",IF(E44="log",D44,IF(E44="dimensionless",LOG(D44),LOG(K44))))</f>
        <v>2</v>
      </c>
      <c r="M44" s="547">
        <v>25</v>
      </c>
      <c r="N44" s="542"/>
      <c r="O44" s="542" t="s">
        <v>525</v>
      </c>
      <c r="P44" s="100">
        <f>VLOOKUP(O44,References!$B$7:$F$252,5,FALSE)</f>
        <v>61</v>
      </c>
    </row>
    <row r="45" spans="1:16" x14ac:dyDescent="0.2">
      <c r="A45" s="904"/>
      <c r="B45" s="897"/>
      <c r="C45" s="905"/>
      <c r="D45" s="556">
        <v>5.66E-6</v>
      </c>
      <c r="E45" s="547" t="s">
        <v>594</v>
      </c>
      <c r="F45" s="544" t="s">
        <v>27</v>
      </c>
      <c r="G45" s="531">
        <f>IF(ISBLANK(D45),"",IF(E45="log",K45*R_Pa*(M45+273.15)*0.001,IF(E45="dimensionless",K45*R_Pa*(M45+273.15)*0.001,IF(E45="Pa-m3/mol",D45,IF(E45="log Pa-m3/mol",10^D45,IF(E45="mol/dm3-atm",I45*101325,IF(E45="atm-m3/mol",I45*101325,0)))))))</f>
        <v>0.57349950000000005</v>
      </c>
      <c r="H45" s="531">
        <f>IF(ISBLANK(D45),"",1/G45)</f>
        <v>1.7436806832438387</v>
      </c>
      <c r="I45" s="531">
        <f>IF(ISBLANK(D45),"",IF(E45="log",K45*R_atm*(M45+273.15)*0.001,IF(E45="dimensionless",K45*R_atm*(M45+273.15)*0.001,IF(E45="Pa-m3/mol",D45/101325,IF(E45="log Pa-m3/mol",(10^D45)/101325,IF(E45="mol/dm3-atm",1/(D45*1000),IF(E45="atm-m3/mol",D45,0)))))))</f>
        <v>5.66E-6</v>
      </c>
      <c r="J45" s="531">
        <f>IF(ISBLANK(D45),"",1/I45)</f>
        <v>176678.44522968197</v>
      </c>
      <c r="K45" s="531">
        <f>IF(ISBLANK(D45),"",IF(E45="log",10^D45,IF(E45="dimensionless",D45,I45/(R_atm*(M45+273.15)*0.001))))</f>
        <v>2.3134709200343993E-4</v>
      </c>
      <c r="L45" s="531">
        <f>IF(ISBLANK(D45),"",IF(E45="log",D45,IF(E45="dimensionless",LOG(D45),LOG(K45))))</f>
        <v>-3.6357359551431063</v>
      </c>
      <c r="M45" s="547">
        <v>25</v>
      </c>
      <c r="N45" s="542"/>
      <c r="O45" s="542" t="s">
        <v>47</v>
      </c>
      <c r="P45" s="100">
        <f>VLOOKUP(O45,References!$B$7:$F$252,5,FALSE)</f>
        <v>3</v>
      </c>
    </row>
    <row r="46" spans="1:16" ht="16" x14ac:dyDescent="0.2">
      <c r="A46" s="899"/>
      <c r="B46" s="901"/>
      <c r="C46" s="903"/>
      <c r="D46" s="553">
        <v>2.09E-10</v>
      </c>
      <c r="E46" s="553" t="s">
        <v>594</v>
      </c>
      <c r="F46" s="554" t="s">
        <v>515</v>
      </c>
      <c r="G46" s="533">
        <f t="shared" si="23"/>
        <v>2.1176924999999999E-5</v>
      </c>
      <c r="H46" s="533">
        <f t="shared" si="18"/>
        <v>47221.208933780523</v>
      </c>
      <c r="I46" s="533">
        <f t="shared" si="24"/>
        <v>2.09E-10</v>
      </c>
      <c r="J46" s="533">
        <f t="shared" si="20"/>
        <v>4784688995.2153111</v>
      </c>
      <c r="K46" s="533">
        <f t="shared" si="25"/>
        <v>8.542675305427375E-9</v>
      </c>
      <c r="L46" s="533">
        <f t="shared" si="22"/>
        <v>-8.068406100220324</v>
      </c>
      <c r="M46" s="553">
        <v>25</v>
      </c>
      <c r="N46" s="555"/>
      <c r="O46" s="555" t="s">
        <v>511</v>
      </c>
      <c r="P46" s="122">
        <f>VLOOKUP(O46,References!$B$7:$F$252,5,FALSE)</f>
        <v>36</v>
      </c>
    </row>
    <row r="47" spans="1:16" ht="18" customHeight="1" x14ac:dyDescent="0.2">
      <c r="A47" s="904" t="s">
        <v>77</v>
      </c>
      <c r="B47" s="897" t="s">
        <v>78</v>
      </c>
      <c r="C47" s="905" t="s">
        <v>79</v>
      </c>
      <c r="D47" s="545">
        <v>0.36199999999999999</v>
      </c>
      <c r="E47" s="543" t="s">
        <v>597</v>
      </c>
      <c r="F47" s="557" t="s">
        <v>27</v>
      </c>
      <c r="G47" s="531">
        <f>IF(ISBLANK(D47),"",IF(E47="log",K47*R_Pa*(M47+273.15)*0.001,IF(E47="dimensionless",K47*R_Pa*(M47+273.15)*0.001,IF(E47="Pa-m3/mol",D47,IF(E47="log Pa-m3/mol",10^D47,IF(E47="mol/dm3-atm",I47*101325,IF(E47="atm-m3/mol",I47*101325,0)))))))</f>
        <v>0.36199999999999999</v>
      </c>
      <c r="H47" s="531">
        <f>IF(ISBLANK(D47),"",1/G47)</f>
        <v>2.7624309392265194</v>
      </c>
      <c r="I47" s="531">
        <f>IF(ISBLANK(D47),"",IF(E47="log",K47*R_atm*(M47+273.15)*0.001,IF(E47="dimensionless",K47*R_atm*(M47+273.15)*0.001,IF(E47="Pa-m3/mol",D47/101325,IF(E47="log Pa-m3/mol",(10^D47)/101325,IF(E47="mol/dm3-atm",1/(D47*1000),IF(E47="atm-m3/mol",D47,0)))))))</f>
        <v>3.5726622255119664E-6</v>
      </c>
      <c r="J47" s="531">
        <f>IF(ISBLANK(D47),"",1/I47)</f>
        <v>279903.31491712708</v>
      </c>
      <c r="K47" s="531">
        <f>IF(ISBLANK(D47),"",IF(E47="log",10^D47,IF(E47="dimensionless",D47,I47/(R_atm*(M47+273.15)*0.001))))</f>
        <v>1.4602915487327408E-4</v>
      </c>
      <c r="L47" s="531">
        <f>IF(ISBLANK(D47),"",IF(E47="log",D47,IF(E47="dimensionless",LOG(D47),LOG(K47))))</f>
        <v>-3.8355604282119429</v>
      </c>
      <c r="M47" s="543">
        <v>25</v>
      </c>
      <c r="N47" s="543"/>
      <c r="O47" s="542" t="s">
        <v>567</v>
      </c>
      <c r="P47" s="100">
        <f>VLOOKUP(O47,References!$B$7:$F$252,5,FALSE)</f>
        <v>68</v>
      </c>
    </row>
    <row r="48" spans="1:16" x14ac:dyDescent="0.2">
      <c r="A48" s="904"/>
      <c r="B48" s="897"/>
      <c r="C48" s="905"/>
      <c r="D48" s="543">
        <v>-2.37</v>
      </c>
      <c r="E48" s="547" t="s">
        <v>599</v>
      </c>
      <c r="F48" s="544" t="s">
        <v>522</v>
      </c>
      <c r="G48" s="531">
        <f>IF(ISBLANK(D48),"",IF(E48="log",K48*R_Pa*(M48+273.15)*0.001,IF(E48="dimensionless",K48*R_Pa*(M48+273.15)*0.001,IF(E48="Pa-m3/mol",D48,IF(E48="log Pa-m3/mol",10^D48,IF(E48="mol/dm3-atm",I48*101325,IF(E48="atm-m3/mol",I48*101325,0)))))))</f>
        <v>10.57472296817612</v>
      </c>
      <c r="H48" s="531">
        <f>IF(ISBLANK(D48),"",1/G48)</f>
        <v>9.4565125063742012E-2</v>
      </c>
      <c r="I48" s="531">
        <f>IF(ISBLANK(D48),"",IF(E48="log",K48*R_atm*(M48+273.15)*0.001,IF(E48="dimensionless",K48*R_atm*(M48+273.15)*0.001,IF(E48="Pa-m3/mol",D48/101325,IF(E48="log Pa-m3/mol",(10^D48)/101325,IF(E48="mol/dm3-atm",1/(D48*1000),IF(E48="atm-m3/mol",D48,0)))))))</f>
        <v>1.0436440136369267E-4</v>
      </c>
      <c r="J48" s="531">
        <f>IF(ISBLANK(D48),"",1/I48)</f>
        <v>9581.8112970836246</v>
      </c>
      <c r="K48" s="531">
        <f>IF(ISBLANK(D48),"",IF(E48="log",10^D48,IF(E48="dimensionless",D48,I48/(R_atm*(M48+273.15)*0.001))))</f>
        <v>4.2657951880159251E-3</v>
      </c>
      <c r="L48" s="531">
        <f>IF(ISBLANK(D48),"",IF(E48="log",D48,IF(E48="dimensionless",LOG(D48),LOG(K48))))</f>
        <v>-2.37</v>
      </c>
      <c r="M48" s="543">
        <v>25</v>
      </c>
      <c r="N48" s="543"/>
      <c r="O48" s="542" t="s">
        <v>570</v>
      </c>
      <c r="P48" s="100">
        <f>VLOOKUP(O48,References!$B$7:$F$252,5,FALSE)</f>
        <v>9</v>
      </c>
    </row>
    <row r="49" spans="1:16" x14ac:dyDescent="0.2">
      <c r="A49" s="904"/>
      <c r="B49" s="897"/>
      <c r="C49" s="905"/>
      <c r="D49" s="543">
        <v>-1.69</v>
      </c>
      <c r="E49" s="547" t="s">
        <v>599</v>
      </c>
      <c r="F49" s="544" t="s">
        <v>571</v>
      </c>
      <c r="G49" s="531">
        <f>IF(ISBLANK(D49),"",IF(E49="log",K49*R_Pa*(M49+273.15)*0.001,IF(E49="dimensionless",K49*R_Pa*(M49+273.15)*0.001,IF(E49="Pa-m3/mol",D49,IF(E49="log Pa-m3/mol",10^D49,IF(E49="mol/dm3-atm",I49*101325,IF(E49="atm-m3/mol",I49*101325,0)))))))</f>
        <v>50.613806305444605</v>
      </c>
      <c r="H49" s="531">
        <f>IF(ISBLANK(D49),"",1/G49)</f>
        <v>1.9757454990940455E-2</v>
      </c>
      <c r="I49" s="531">
        <f>IF(ISBLANK(D49),"",IF(E49="log",K49*R_atm*(M49+273.15)*0.001,IF(E49="dimensionless",K49*R_atm*(M49+273.15)*0.001,IF(E49="Pa-m3/mol",D49/101325,IF(E49="log Pa-m3/mol",(10^D49)/101325,IF(E49="mol/dm3-atm",1/(D49*1000),IF(E49="atm-m3/mol",D49,0)))))))</f>
        <v>4.9951943059901101E-4</v>
      </c>
      <c r="J49" s="531">
        <f>IF(ISBLANK(D49),"",1/I49)</f>
        <v>2001.9241269570343</v>
      </c>
      <c r="K49" s="531">
        <f>IF(ISBLANK(D49),"",IF(E49="log",10^D49,IF(E49="dimensionless",D49,I49/(R_atm*(M49+273.15)*0.001))))</f>
        <v>2.0417379446695288E-2</v>
      </c>
      <c r="L49" s="531">
        <f>IF(ISBLANK(D49),"",IF(E49="log",D49,IF(E49="dimensionless",LOG(D49),LOG(K49))))</f>
        <v>-1.69</v>
      </c>
      <c r="M49" s="543">
        <v>25</v>
      </c>
      <c r="N49" s="543"/>
      <c r="O49" s="542" t="s">
        <v>570</v>
      </c>
      <c r="P49" s="100">
        <f>VLOOKUP(O49,References!$B$7:$F$252,5,FALSE)</f>
        <v>9</v>
      </c>
    </row>
    <row r="50" spans="1:16" x14ac:dyDescent="0.2">
      <c r="A50" s="904"/>
      <c r="B50" s="897"/>
      <c r="C50" s="905"/>
      <c r="D50" s="558">
        <v>5</v>
      </c>
      <c r="E50" s="547" t="s">
        <v>603</v>
      </c>
      <c r="F50" s="544" t="s">
        <v>27</v>
      </c>
      <c r="G50" s="531">
        <f>IF(ISBLANK(D50),"",IF(E50="log",K50*R_Pa*(M50+273.15)*0.001,IF(E50="dimensionless",K50*R_Pa*(M50+273.15)*0.001,IF(E50="Pa-m3/mol",D50,IF(E50="log Pa-m3/mol",10^D50,IF(E50="mol/dm3-atm",I50*101325,IF(E50="atm-m3/mol",I50*101325,0)))))))</f>
        <v>20.265000000000001</v>
      </c>
      <c r="H50" s="531">
        <f>IF(ISBLANK(D50),"",1/G50)</f>
        <v>4.9346163335800643E-2</v>
      </c>
      <c r="I50" s="531">
        <f>IF(ISBLANK(D50),"",IF(E50="log",K50*R_atm*(M50+273.15)*0.001,IF(E50="dimensionless",K50*R_atm*(M50+273.15)*0.001,IF(E50="Pa-m3/mol",D50/101325,IF(E50="log Pa-m3/mol",(10^D50)/101325,IF(E50="mol/dm3-atm",1/(D50*1000),IF(E50="atm-m3/mol",D50,0)))))))</f>
        <v>2.0000000000000001E-4</v>
      </c>
      <c r="J50" s="531">
        <f>IF(ISBLANK(D50),"",1/I50)</f>
        <v>5000</v>
      </c>
      <c r="K50" s="531">
        <f>IF(ISBLANK(D50),"",IF(E50="log",10^D50,IF(E50="dimensionless",D50,I50/(R_atm*(M50+273.15)*0.001))))</f>
        <v>8.1748089047151921E-3</v>
      </c>
      <c r="L50" s="531">
        <f>IF(ISBLANK(D50),"",IF(E50="log",D50,IF(E50="dimensionless",LOG(D50),LOG(K50))))</f>
        <v>-2.0875223906673965</v>
      </c>
      <c r="M50" s="543">
        <v>25</v>
      </c>
      <c r="N50" s="542"/>
      <c r="O50" s="542" t="s">
        <v>604</v>
      </c>
      <c r="P50" s="100">
        <f>VLOOKUP(O50,References!$B$7:$F$252,5,FALSE)</f>
        <v>66</v>
      </c>
    </row>
    <row r="51" spans="1:16" ht="16" x14ac:dyDescent="0.2">
      <c r="A51" s="904"/>
      <c r="B51" s="897"/>
      <c r="C51" s="905"/>
      <c r="D51" s="559">
        <v>1.0200000000000001E-3</v>
      </c>
      <c r="E51" s="543" t="s">
        <v>595</v>
      </c>
      <c r="F51" s="557" t="s">
        <v>27</v>
      </c>
      <c r="G51" s="531">
        <f>IF(ISBLANK(D51),"",IF(E51="log",K51*R_Pa*(M51+273.15)*0.001,IF(E51="dimensionless",K51*R_Pa*(M51+273.15)*0.001,IF(E51="Pa-m3/mol",D51,IF(E51="log Pa-m3/mol",10^D51,IF(E51="mol/dm3-atm",I51*101325,IF(E51="atm-m3/mol",I51*101325,0)))))))</f>
        <v>2.4861324108418548</v>
      </c>
      <c r="H51" s="531">
        <f>IF(ISBLANK(D51),"",1/G51)</f>
        <v>0.40223119076002062</v>
      </c>
      <c r="I51" s="531">
        <f>IF(ISBLANK(D51),"",IF(E51="log",K51*R_atm*(M51+273.15)*0.001,IF(E51="dimensionless",K51*R_atm*(M51+273.15)*0.001,IF(E51="Pa-m3/mol",D51/101325,IF(E51="log Pa-m3/mol",(10^D51)/101325,IF(E51="mol/dm3-atm",1/(D51*1000),IF(E51="atm-m3/mol",D51,0)))))))</f>
        <v>2.4536219203966089E-5</v>
      </c>
      <c r="J51" s="531">
        <f>IF(ISBLANK(D51),"",1/I51)</f>
        <v>40756.075403758936</v>
      </c>
      <c r="K51" s="531">
        <f>IF(ISBLANK(D51),"",IF(E51="log",10^D51,IF(E51="dimensionless",D51,I51/(R_atm*(M51+273.15)*0.001))))</f>
        <v>1.0200000000000001E-3</v>
      </c>
      <c r="L51" s="531">
        <f>IF(ISBLANK(D51),"",IF(E51="log",D51,IF(E51="dimensionless",LOG(D51),LOG(K51))))</f>
        <v>-2.9913998282380825</v>
      </c>
      <c r="M51" s="543">
        <v>20</v>
      </c>
      <c r="N51" s="543">
        <v>0.6</v>
      </c>
      <c r="O51" s="560" t="s">
        <v>605</v>
      </c>
      <c r="P51" s="100">
        <f>VLOOKUP(O51,References!$B$7:$F$252,5,FALSE)</f>
        <v>74</v>
      </c>
    </row>
    <row r="52" spans="1:16" x14ac:dyDescent="0.2">
      <c r="A52" s="904"/>
      <c r="B52" s="897"/>
      <c r="C52" s="905"/>
      <c r="D52" s="545">
        <v>0.56977617668836467</v>
      </c>
      <c r="E52" s="547" t="s">
        <v>599</v>
      </c>
      <c r="F52" s="544" t="s">
        <v>513</v>
      </c>
      <c r="G52" s="531">
        <f t="shared" si="23"/>
        <v>9205.4532215496311</v>
      </c>
      <c r="H52" s="531">
        <f t="shared" si="18"/>
        <v>1.0863126191973214E-4</v>
      </c>
      <c r="I52" s="531">
        <f t="shared" si="24"/>
        <v>9.0850759650132396E-2</v>
      </c>
      <c r="J52" s="531">
        <f t="shared" si="20"/>
        <v>11.007062614016819</v>
      </c>
      <c r="K52" s="531">
        <f t="shared" si="25"/>
        <v>3.7134379949402092</v>
      </c>
      <c r="L52" s="531">
        <f t="shared" si="22"/>
        <v>0.56977617668836467</v>
      </c>
      <c r="M52" s="543">
        <v>25</v>
      </c>
      <c r="N52" s="542"/>
      <c r="O52" s="542" t="s">
        <v>600</v>
      </c>
      <c r="P52" s="100">
        <f>VLOOKUP(O52,References!$B$7:$F$252,5,FALSE)</f>
        <v>143</v>
      </c>
    </row>
    <row r="53" spans="1:16" x14ac:dyDescent="0.2">
      <c r="A53" s="904"/>
      <c r="B53" s="897"/>
      <c r="C53" s="905"/>
      <c r="D53" s="545">
        <v>-1.3966565593771501</v>
      </c>
      <c r="E53" s="547" t="s">
        <v>599</v>
      </c>
      <c r="F53" s="544" t="s">
        <v>571</v>
      </c>
      <c r="G53" s="531">
        <f t="shared" si="23"/>
        <v>99.451752241708746</v>
      </c>
      <c r="H53" s="531">
        <f t="shared" si="18"/>
        <v>1.0055127008416985E-2</v>
      </c>
      <c r="I53" s="531">
        <f t="shared" si="24"/>
        <v>9.8151248203019108E-4</v>
      </c>
      <c r="J53" s="531">
        <f t="shared" si="20"/>
        <v>1018.8357441278472</v>
      </c>
      <c r="K53" s="531">
        <f t="shared" si="25"/>
        <v>4.011838489094758E-2</v>
      </c>
      <c r="L53" s="531">
        <f t="shared" si="22"/>
        <v>-1.3966565593771501</v>
      </c>
      <c r="M53" s="543">
        <v>25</v>
      </c>
      <c r="N53" s="542"/>
      <c r="O53" s="542" t="s">
        <v>600</v>
      </c>
      <c r="P53" s="100">
        <f>VLOOKUP(O53,References!$B$7:$F$252,5,FALSE)</f>
        <v>143</v>
      </c>
    </row>
    <row r="54" spans="1:16" x14ac:dyDescent="0.2">
      <c r="A54" s="904"/>
      <c r="B54" s="897"/>
      <c r="C54" s="905"/>
      <c r="D54" s="545">
        <v>-1.4924089028492131</v>
      </c>
      <c r="E54" s="547" t="s">
        <v>599</v>
      </c>
      <c r="F54" s="544" t="s">
        <v>522</v>
      </c>
      <c r="G54" s="531">
        <f t="shared" si="23"/>
        <v>79.77376617794441</v>
      </c>
      <c r="H54" s="531">
        <f t="shared" si="18"/>
        <v>1.2535449282529634E-2</v>
      </c>
      <c r="I54" s="531">
        <f t="shared" si="24"/>
        <v>7.8730585914576568E-4</v>
      </c>
      <c r="J54" s="531">
        <f t="shared" si="20"/>
        <v>1270.1543985523103</v>
      </c>
      <c r="K54" s="531">
        <f t="shared" si="25"/>
        <v>3.2180374740396242E-2</v>
      </c>
      <c r="L54" s="531">
        <f t="shared" si="22"/>
        <v>-1.4924089028492131</v>
      </c>
      <c r="M54" s="543">
        <v>25</v>
      </c>
      <c r="N54" s="542"/>
      <c r="O54" s="542" t="s">
        <v>600</v>
      </c>
      <c r="P54" s="100">
        <f>VLOOKUP(O54,References!$B$7:$F$252,5,FALSE)</f>
        <v>143</v>
      </c>
    </row>
    <row r="55" spans="1:16" x14ac:dyDescent="0.2">
      <c r="A55" s="904"/>
      <c r="B55" s="897"/>
      <c r="C55" s="905"/>
      <c r="D55" s="545">
        <v>-0.43989</v>
      </c>
      <c r="E55" s="547" t="s">
        <v>599</v>
      </c>
      <c r="F55" s="544" t="s">
        <v>514</v>
      </c>
      <c r="G55" s="531">
        <f t="shared" si="23"/>
        <v>900.28289486828419</v>
      </c>
      <c r="H55" s="531">
        <f t="shared" si="18"/>
        <v>1.1107619679326518E-3</v>
      </c>
      <c r="I55" s="531">
        <f t="shared" si="24"/>
        <v>8.8851013557195921E-3</v>
      </c>
      <c r="J55" s="531">
        <f t="shared" si="20"/>
        <v>112.5479564007755</v>
      </c>
      <c r="K55" s="531">
        <f t="shared" si="25"/>
        <v>0.3631700284101676</v>
      </c>
      <c r="L55" s="531">
        <f t="shared" si="22"/>
        <v>-0.43989</v>
      </c>
      <c r="M55" s="543">
        <v>25</v>
      </c>
      <c r="N55" s="542"/>
      <c r="O55" s="542" t="s">
        <v>600</v>
      </c>
      <c r="P55" s="100">
        <f>VLOOKUP(O55,References!$B$7:$F$252,5,FALSE)</f>
        <v>143</v>
      </c>
    </row>
    <row r="56" spans="1:16" ht="16" x14ac:dyDescent="0.2">
      <c r="A56" s="904"/>
      <c r="B56" s="897"/>
      <c r="C56" s="905"/>
      <c r="D56" s="543">
        <v>-1.93</v>
      </c>
      <c r="E56" s="543" t="s">
        <v>599</v>
      </c>
      <c r="F56" s="544" t="s">
        <v>522</v>
      </c>
      <c r="G56" s="531">
        <f>IF(ISBLANK(D56),"",IF(E56="log",K56*R_Pa*(M56+273.15)*0.001,IF(E56="dimensionless",K56*R_Pa*(M56+273.15)*0.001,IF(E56="Pa-m3/mol",D56,IF(E56="log Pa-m3/mol",10^D56,IF(E56="mol/dm3-atm",I56*101325,IF(E56="atm-m3/mol",I56*101325,0)))))))</f>
        <v>29.125205528800048</v>
      </c>
      <c r="H56" s="531">
        <f>IF(ISBLANK(D56),"",1/G56)</f>
        <v>3.4334521657234801E-2</v>
      </c>
      <c r="I56" s="531">
        <f>IF(ISBLANK(D56),"",IF(E56="log",K56*R_atm*(M56+273.15)*0.001,IF(E56="dimensionless",K56*R_atm*(M56+273.15)*0.001,IF(E56="Pa-m3/mol",D56/101325,IF(E56="log Pa-m3/mol",(10^D56)/101325,IF(E56="mol/dm3-atm",1/(D56*1000),IF(E56="atm-m3/mol",D56,0)))))))</f>
        <v>2.8744342984258727E-4</v>
      </c>
      <c r="J56" s="531">
        <f>IF(ISBLANK(D56),"",1/I56)</f>
        <v>3478.9454069193034</v>
      </c>
      <c r="K56" s="531">
        <f>IF(ISBLANK(D56),"",IF(E56="log",10^D56,IF(E56="dimensionless",D56,I56/(R_atm*(M56+273.15)*0.001))))</f>
        <v>1.1748975549395293E-2</v>
      </c>
      <c r="L56" s="531">
        <f>IF(ISBLANK(D56),"",IF(E56="log",D56,IF(E56="dimensionless",LOG(D56),LOG(K56))))</f>
        <v>-1.93</v>
      </c>
      <c r="M56" s="546">
        <v>25</v>
      </c>
      <c r="N56" s="542"/>
      <c r="O56" s="542" t="s">
        <v>523</v>
      </c>
      <c r="P56" s="100">
        <f>VLOOKUP(O56,References!$B$7:$F$252,5,FALSE)</f>
        <v>127</v>
      </c>
    </row>
    <row r="57" spans="1:16" x14ac:dyDescent="0.2">
      <c r="A57" s="904"/>
      <c r="B57" s="897"/>
      <c r="C57" s="905"/>
      <c r="D57" s="547">
        <v>2.57</v>
      </c>
      <c r="E57" s="547" t="s">
        <v>599</v>
      </c>
      <c r="F57" s="544" t="s">
        <v>601</v>
      </c>
      <c r="G57" s="531">
        <f>IF(ISBLANK(D57),"",IF(E57="log",K57*R_Pa*(M57+273.15)*0.001,IF(E57="dimensionless",K57*R_Pa*(M57+273.15)*0.001,IF(E57="Pa-m3/mol",D57,IF(E57="log Pa-m3/mol",10^D57,IF(E57="mol/dm3-atm",I57*101325,IF(E57="atm-m3/mol",I57*101325,0)))))))</f>
        <v>921019.86791537004</v>
      </c>
      <c r="H57" s="531">
        <f>IF(ISBLANK(D57),"",1/G57)</f>
        <v>1.0857529080924097E-6</v>
      </c>
      <c r="I57" s="531">
        <f>IF(ISBLANK(D57),"",IF(E57="log",K57*R_atm*(M57+273.15)*0.001,IF(E57="dimensionless",K57*R_atm*(M57+273.15)*0.001,IF(E57="Pa-m3/mol",D57/101325,IF(E57="log Pa-m3/mol",(10^D57)/101325,IF(E57="mol/dm3-atm",1/(D57*1000),IF(E57="atm-m3/mol",D57,0)))))))</f>
        <v>9.0897593675339099</v>
      </c>
      <c r="J57" s="531">
        <f>IF(ISBLANK(D57),"",1/I57)</f>
        <v>0.110013913412463</v>
      </c>
      <c r="K57" s="531">
        <f>IF(ISBLANK(D57),"",IF(E57="log",10^D57,IF(E57="dimensionless",D57,I57/(R_atm*(M57+273.15)*0.001))))</f>
        <v>371.53522909717265</v>
      </c>
      <c r="L57" s="531">
        <f>IF(ISBLANK(D57),"",IF(E57="log",D57,IF(E57="dimensionless",LOG(D57),LOG(K57))))</f>
        <v>2.57</v>
      </c>
      <c r="M57" s="547">
        <v>25</v>
      </c>
      <c r="N57" s="547"/>
      <c r="O57" s="542" t="s">
        <v>525</v>
      </c>
      <c r="P57" s="100">
        <f>VLOOKUP(O57,References!$B$7:$F$252,5,FALSE)</f>
        <v>61</v>
      </c>
    </row>
    <row r="58" spans="1:16" ht="16" x14ac:dyDescent="0.2">
      <c r="A58" s="904"/>
      <c r="B58" s="897"/>
      <c r="C58" s="905"/>
      <c r="D58" s="561">
        <v>2.5300000000000001E-3</v>
      </c>
      <c r="E58" s="543" t="s">
        <v>594</v>
      </c>
      <c r="F58" s="544" t="s">
        <v>571</v>
      </c>
      <c r="G58" s="531">
        <f>IF(ISBLANK(D58),"",IF(E58="log",K58*R_Pa*(M58+273.15)*0.001,IF(E58="dimensionless",K58*R_Pa*(M58+273.15)*0.001,IF(E58="Pa-m3/mol",D58,IF(E58="log Pa-m3/mol",10^D58,IF(E58="mol/dm3-atm",I58*101325,IF(E58="atm-m3/mol",I58*101325,0)))))))</f>
        <v>256.35225000000003</v>
      </c>
      <c r="H58" s="531">
        <f>IF(ISBLANK(D58),"",1/G58)</f>
        <v>3.90088247713839E-3</v>
      </c>
      <c r="I58" s="531">
        <f>IF(ISBLANK(D58),"",IF(E58="log",K58*R_atm*(M58+273.15)*0.001,IF(E58="dimensionless",K58*R_atm*(M58+273.15)*0.001,IF(E58="Pa-m3/mol",D58/101325,IF(E58="log Pa-m3/mol",(10^D58)/101325,IF(E58="mol/dm3-atm",1/(D58*1000),IF(E58="atm-m3/mol",D58,0)))))))</f>
        <v>2.5300000000000001E-3</v>
      </c>
      <c r="J58" s="531">
        <f>IF(ISBLANK(D58),"",1/I58)</f>
        <v>395.25691699604744</v>
      </c>
      <c r="K58" s="531">
        <f>IF(ISBLANK(D58),"",IF(E58="log",10^D58,IF(E58="dimensionless",D58,I58/(R_atm*(M58+273.15)*0.001))))</f>
        <v>0.10341133264464718</v>
      </c>
      <c r="L58" s="531">
        <f>IF(ISBLANK(D58),"",IF(E58="log",D58,IF(E58="dimensionless",LOG(D58),LOG(K58))))</f>
        <v>-0.98543186515555992</v>
      </c>
      <c r="M58" s="546">
        <v>25</v>
      </c>
      <c r="N58" s="542"/>
      <c r="O58" s="542" t="s">
        <v>606</v>
      </c>
      <c r="P58" s="100">
        <f>VLOOKUP(O58,References!$B$7:$F$252,5,FALSE)</f>
        <v>135</v>
      </c>
    </row>
    <row r="59" spans="1:16" ht="16" x14ac:dyDescent="0.2">
      <c r="A59" s="904"/>
      <c r="B59" s="897"/>
      <c r="C59" s="905"/>
      <c r="D59" s="553">
        <v>1.9200000000000001E-10</v>
      </c>
      <c r="E59" s="553" t="s">
        <v>594</v>
      </c>
      <c r="F59" s="554" t="s">
        <v>515</v>
      </c>
      <c r="G59" s="533">
        <f t="shared" si="23"/>
        <v>1.9454400000000001E-5</v>
      </c>
      <c r="H59" s="533">
        <f t="shared" si="18"/>
        <v>51402.253474792335</v>
      </c>
      <c r="I59" s="533">
        <f t="shared" si="24"/>
        <v>1.9200000000000001E-10</v>
      </c>
      <c r="J59" s="533">
        <f t="shared" si="20"/>
        <v>5208333333.333333</v>
      </c>
      <c r="K59" s="533">
        <f t="shared" si="25"/>
        <v>7.847816548526585E-9</v>
      </c>
      <c r="L59" s="533">
        <f t="shared" si="22"/>
        <v>-8.1052511576278281</v>
      </c>
      <c r="M59" s="553">
        <v>25</v>
      </c>
      <c r="N59" s="555"/>
      <c r="O59" s="555" t="s">
        <v>511</v>
      </c>
      <c r="P59" s="122">
        <f>VLOOKUP(O59,References!$B$7:$F$252,5,FALSE)</f>
        <v>36</v>
      </c>
    </row>
    <row r="60" spans="1:16" ht="18" customHeight="1" x14ac:dyDescent="0.2">
      <c r="A60" s="898" t="s">
        <v>86</v>
      </c>
      <c r="B60" s="900" t="s">
        <v>87</v>
      </c>
      <c r="C60" s="902" t="s">
        <v>88</v>
      </c>
      <c r="D60" s="547">
        <v>-2.0299999999999998</v>
      </c>
      <c r="E60" s="547" t="s">
        <v>599</v>
      </c>
      <c r="F60" s="544" t="s">
        <v>522</v>
      </c>
      <c r="G60" s="531">
        <f>IF(ISBLANK(D60),"",IF(E60="log",K60*R_Pa*(M60+273.15)*0.001,IF(E60="dimensionless",K60*R_Pa*(M60+273.15)*0.001,IF(E60="Pa-m3/mol",D60,IF(E60="log Pa-m3/mol",10^D60,IF(E60="mol/dm3-atm",I60*101325,IF(E60="atm-m3/mol",I60*101325,0)))))))</f>
        <v>23.134973093673626</v>
      </c>
      <c r="H60" s="531">
        <f>IF(ISBLANK(D60),"",1/G60)</f>
        <v>4.3224601816090072E-2</v>
      </c>
      <c r="I60" s="531">
        <f>IF(ISBLANK(D60),"",IF(E60="log",K60*R_atm*(M60+273.15)*0.001,IF(E60="dimensionless",K60*R_atm*(M60+273.15)*0.001,IF(E60="Pa-m3/mol",D60/101325,IF(E60="log Pa-m3/mol",(10^D60)/101325,IF(E60="mol/dm3-atm",1/(D60*1000),IF(E60="atm-m3/mol",D60,0)))))))</f>
        <v>2.2832443220995521E-4</v>
      </c>
      <c r="J60" s="531">
        <f>IF(ISBLANK(D60),"",1/I60)</f>
        <v>4379.7327790153104</v>
      </c>
      <c r="K60" s="531">
        <f>IF(ISBLANK(D60),"",IF(E60="log",10^D60,IF(E60="dimensionless",D60,I60/(R_atm*(M60+273.15)*0.001))))</f>
        <v>9.3325430079699099E-3</v>
      </c>
      <c r="L60" s="531">
        <f>IF(ISBLANK(D60),"",IF(E60="log",D60,IF(E60="dimensionless",LOG(D60),LOG(K60))))</f>
        <v>-2.0299999999999998</v>
      </c>
      <c r="M60" s="547">
        <v>25</v>
      </c>
      <c r="N60" s="542"/>
      <c r="O60" s="542" t="s">
        <v>570</v>
      </c>
      <c r="P60" s="100">
        <f>VLOOKUP(O60,References!$B$7:$F$252,5,FALSE)</f>
        <v>9</v>
      </c>
    </row>
    <row r="61" spans="1:16" x14ac:dyDescent="0.2">
      <c r="A61" s="904"/>
      <c r="B61" s="897"/>
      <c r="C61" s="905"/>
      <c r="D61" s="547">
        <v>-1.1200000000000001</v>
      </c>
      <c r="E61" s="547" t="s">
        <v>599</v>
      </c>
      <c r="F61" s="544" t="s">
        <v>571</v>
      </c>
      <c r="G61" s="531">
        <f>IF(ISBLANK(D61),"",IF(E61="log",K61*R_Pa*(M61+273.15)*0.001,IF(E61="dimensionless",K61*R_Pa*(M61+273.15)*0.001,IF(E61="Pa-m3/mol",D61,IF(E61="log Pa-m3/mol",10^D61,IF(E61="mol/dm3-atm",I61*101325,IF(E61="atm-m3/mol",I61*101325,0)))))))</f>
        <v>188.04812121173279</v>
      </c>
      <c r="H61" s="531">
        <f>IF(ISBLANK(D61),"",1/G61)</f>
        <v>5.3177877745135774E-3</v>
      </c>
      <c r="I61" s="531">
        <f>IF(ISBLANK(D61),"",IF(E61="log",K61*R_atm*(M61+273.15)*0.001,IF(E61="dimensionless",K61*R_atm*(M61+273.15)*0.001,IF(E61="Pa-m3/mol",D61/101325,IF(E61="log Pa-m3/mol",(10^D61)/101325,IF(E61="mol/dm3-atm",1/(D61*1000),IF(E61="atm-m3/mol",D61,0)))))))</f>
        <v>1.8558906608609276E-3</v>
      </c>
      <c r="J61" s="531">
        <f>IF(ISBLANK(D61),"",1/I61)</f>
        <v>538.82484625258621</v>
      </c>
      <c r="K61" s="531">
        <f>IF(ISBLANK(D61),"",IF(E61="log",10^D61,IF(E61="dimensionless",D61,I61/(R_atm*(M61+273.15)*0.001))))</f>
        <v>7.5857757502918358E-2</v>
      </c>
      <c r="L61" s="531">
        <f>IF(ISBLANK(D61),"",IF(E61="log",D61,IF(E61="dimensionless",LOG(D61),LOG(K61))))</f>
        <v>-1.1200000000000001</v>
      </c>
      <c r="M61" s="547">
        <v>25</v>
      </c>
      <c r="N61" s="542"/>
      <c r="O61" s="542" t="s">
        <v>570</v>
      </c>
      <c r="P61" s="100">
        <f>VLOOKUP(O61,References!$B$7:$F$252,5,FALSE)</f>
        <v>9</v>
      </c>
    </row>
    <row r="62" spans="1:16" ht="16" x14ac:dyDescent="0.2">
      <c r="A62" s="904"/>
      <c r="B62" s="897"/>
      <c r="C62" s="905"/>
      <c r="D62" s="547">
        <v>-0.57999999999999996</v>
      </c>
      <c r="E62" s="543" t="s">
        <v>599</v>
      </c>
      <c r="F62" s="544" t="s">
        <v>571</v>
      </c>
      <c r="G62" s="531">
        <f>IF(ISBLANK(D62),"",IF(E62="log",K62*R_Pa*(M62+273.15)*0.001,IF(E62="dimensionless",K62*R_Pa*(M62+273.15)*0.001,IF(E62="Pa-m3/mol",D62,IF(E62="log Pa-m3/mol",10^D62,IF(E62="mol/dm3-atm",I62*101325,IF(E62="atm-m3/mol",I62*101325,0)))))))</f>
        <v>652.03213282472154</v>
      </c>
      <c r="H62" s="531">
        <f>IF(ISBLANK(D62),"",1/G62)</f>
        <v>1.5336667468638678E-3</v>
      </c>
      <c r="I62" s="531">
        <f>IF(ISBLANK(D62),"",IF(E62="log",K62*R_atm*(M62+273.15)*0.001,IF(E62="dimensionless",K62*R_atm*(M62+273.15)*0.001,IF(E62="Pa-m3/mol",D62/101325,IF(E62="log Pa-m3/mol",(10^D62)/101325,IF(E62="mol/dm3-atm",1/(D62*1000),IF(E62="atm-m3/mol",D62,0)))))))</f>
        <v>6.4350568253118577E-3</v>
      </c>
      <c r="J62" s="531">
        <f>IF(ISBLANK(D62),"",1/I62)</f>
        <v>155.39878312598083</v>
      </c>
      <c r="K62" s="531">
        <f>IF(ISBLANK(D62),"",IF(E62="log",10^D62,IF(E62="dimensionless",D62,I62/(R_atm*(M62+273.15)*0.001))))</f>
        <v>0.2630267991895382</v>
      </c>
      <c r="L62" s="531">
        <f>IF(ISBLANK(D62),"",IF(E62="log",D62,IF(E62="dimensionless",LOG(D62),LOG(K62))))</f>
        <v>-0.57999999999999996</v>
      </c>
      <c r="M62" s="546">
        <v>25</v>
      </c>
      <c r="N62" s="542"/>
      <c r="O62" s="542" t="s">
        <v>602</v>
      </c>
      <c r="P62" s="100">
        <f>VLOOKUP(O62,References!$B$7:$F$252,5,FALSE)</f>
        <v>101</v>
      </c>
    </row>
    <row r="63" spans="1:16" ht="16" x14ac:dyDescent="0.2">
      <c r="A63" s="904"/>
      <c r="B63" s="897"/>
      <c r="C63" s="905"/>
      <c r="D63" s="547">
        <v>1.29</v>
      </c>
      <c r="E63" s="543" t="s">
        <v>599</v>
      </c>
      <c r="F63" s="544" t="s">
        <v>513</v>
      </c>
      <c r="G63" s="531">
        <f>IF(ISBLANK(D63),"",IF(E63="log",K63*R_Pa*(M63+273.15)*0.001,IF(E63="dimensionless",K63*R_Pa*(M63+273.15)*0.001,IF(E63="Pa-m3/mol",D63,IF(E63="log Pa-m3/mol",10^D63,IF(E63="mol/dm3-atm",I63*101325,IF(E63="atm-m3/mol",I63*101325,0)))))))</f>
        <v>48335.809772024644</v>
      </c>
      <c r="H63" s="531">
        <f>IF(ISBLANK(D63),"",1/G63)</f>
        <v>2.0688595157844461E-5</v>
      </c>
      <c r="I63" s="531">
        <f>IF(ISBLANK(D63),"",IF(E63="log",K63*R_atm*(M63+273.15)*0.001,IF(E63="dimensionless",K63*R_atm*(M63+273.15)*0.001,IF(E63="Pa-m3/mol",D63/101325,IF(E63="log Pa-m3/mol",(10^D63)/101325,IF(E63="mol/dm3-atm",1/(D63*1000),IF(E63="atm-m3/mol",D63,0)))))))</f>
        <v>0.47703735279570519</v>
      </c>
      <c r="J63" s="531">
        <f>IF(ISBLANK(D63),"",1/I63)</f>
        <v>2.096271904368582</v>
      </c>
      <c r="K63" s="531">
        <f>IF(ISBLANK(D63),"",IF(E63="log",10^D63,IF(E63="dimensionless",D63,I63/(R_atm*(M63+273.15)*0.001))))</f>
        <v>19.498445997580465</v>
      </c>
      <c r="L63" s="531">
        <f>IF(ISBLANK(D63),"",IF(E63="log",D63,IF(E63="dimensionless",LOG(D63),LOG(K63))))</f>
        <v>1.29</v>
      </c>
      <c r="M63" s="546">
        <v>25</v>
      </c>
      <c r="N63" s="542"/>
      <c r="O63" s="542" t="s">
        <v>602</v>
      </c>
      <c r="P63" s="100">
        <f>VLOOKUP(O63,References!$B$7:$F$252,5,FALSE)</f>
        <v>101</v>
      </c>
    </row>
    <row r="64" spans="1:16" ht="16" x14ac:dyDescent="0.2">
      <c r="A64" s="904"/>
      <c r="B64" s="897"/>
      <c r="C64" s="905"/>
      <c r="D64" s="547">
        <v>-1.58</v>
      </c>
      <c r="E64" s="543" t="s">
        <v>599</v>
      </c>
      <c r="F64" s="544" t="s">
        <v>522</v>
      </c>
      <c r="G64" s="531">
        <f>IF(ISBLANK(D64),"",IF(E64="log",K64*R_Pa*(M64+273.15)*0.001,IF(E64="dimensionless",K64*R_Pa*(M64+273.15)*0.001,IF(E64="Pa-m3/mol",D64,IF(E64="log Pa-m3/mol",10^D64,IF(E64="mol/dm3-atm",I64*101325,IF(E64="atm-m3/mol",I64*101325,0)))))))</f>
        <v>65.20321328247212</v>
      </c>
      <c r="H64" s="531">
        <f>IF(ISBLANK(D64),"",1/G64)</f>
        <v>1.5336667468638685E-2</v>
      </c>
      <c r="I64" s="531">
        <f>IF(ISBLANK(D64),"",IF(E64="log",K64*R_atm*(M64+273.15)*0.001,IF(E64="dimensionless",K64*R_atm*(M64+273.15)*0.001,IF(E64="Pa-m3/mol",D64/101325,IF(E64="log Pa-m3/mol",(10^D64)/101325,IF(E64="mol/dm3-atm",1/(D64*1000),IF(E64="atm-m3/mol",D64,0)))))))</f>
        <v>6.4350568253118538E-4</v>
      </c>
      <c r="J64" s="531">
        <f>IF(ISBLANK(D64),"",1/I64)</f>
        <v>1553.9878312598091</v>
      </c>
      <c r="K64" s="531">
        <f>IF(ISBLANK(D64),"",IF(E64="log",10^D64,IF(E64="dimensionless",D64,I64/(R_atm*(M64+273.15)*0.001))))</f>
        <v>2.6302679918953804E-2</v>
      </c>
      <c r="L64" s="531">
        <f>IF(ISBLANK(D64),"",IF(E64="log",D64,IF(E64="dimensionless",LOG(D64),LOG(K64))))</f>
        <v>-1.58</v>
      </c>
      <c r="M64" s="546">
        <v>25</v>
      </c>
      <c r="N64" s="542"/>
      <c r="O64" s="542" t="s">
        <v>523</v>
      </c>
      <c r="P64" s="100">
        <f>VLOOKUP(O64,References!$B$7:$F$252,5,FALSE)</f>
        <v>127</v>
      </c>
    </row>
    <row r="65" spans="1:16" x14ac:dyDescent="0.2">
      <c r="A65" s="904"/>
      <c r="B65" s="897"/>
      <c r="C65" s="905"/>
      <c r="D65" s="547">
        <v>3.14</v>
      </c>
      <c r="E65" s="547" t="s">
        <v>599</v>
      </c>
      <c r="F65" s="544" t="s">
        <v>601</v>
      </c>
      <c r="G65" s="531">
        <f t="shared" si="23"/>
        <v>3421913.2762898491</v>
      </c>
      <c r="H65" s="531">
        <f t="shared" si="18"/>
        <v>2.9223417405955797E-7</v>
      </c>
      <c r="I65" s="531">
        <f t="shared" si="24"/>
        <v>33.771658290548842</v>
      </c>
      <c r="J65" s="531">
        <f t="shared" si="20"/>
        <v>2.9610627686584602E-2</v>
      </c>
      <c r="K65" s="531">
        <f t="shared" si="25"/>
        <v>1380.3842646028863</v>
      </c>
      <c r="L65" s="531">
        <f t="shared" si="22"/>
        <v>3.14</v>
      </c>
      <c r="M65" s="547">
        <v>25</v>
      </c>
      <c r="N65" s="542"/>
      <c r="O65" s="542" t="s">
        <v>525</v>
      </c>
      <c r="P65" s="100">
        <f>VLOOKUP(O65,References!$B$7:$F$252,5,FALSE)</f>
        <v>61</v>
      </c>
    </row>
    <row r="66" spans="1:16" ht="16" x14ac:dyDescent="0.2">
      <c r="A66" s="899"/>
      <c r="B66" s="901"/>
      <c r="C66" s="903"/>
      <c r="D66" s="552">
        <v>1.1800000000000001E-9</v>
      </c>
      <c r="E66" s="553" t="s">
        <v>594</v>
      </c>
      <c r="F66" s="554" t="s">
        <v>515</v>
      </c>
      <c r="G66" s="533">
        <f t="shared" si="23"/>
        <v>1.195635E-4</v>
      </c>
      <c r="H66" s="533">
        <f t="shared" si="18"/>
        <v>8363.7564975933292</v>
      </c>
      <c r="I66" s="533">
        <f t="shared" si="24"/>
        <v>1.1800000000000001E-9</v>
      </c>
      <c r="J66" s="533">
        <f t="shared" si="20"/>
        <v>847457627.118644</v>
      </c>
      <c r="K66" s="533">
        <f t="shared" si="25"/>
        <v>4.8231372537819635E-8</v>
      </c>
      <c r="L66" s="533">
        <f t="shared" si="22"/>
        <v>-7.3166703790252523</v>
      </c>
      <c r="M66" s="553">
        <v>25</v>
      </c>
      <c r="N66" s="555"/>
      <c r="O66" s="555" t="s">
        <v>511</v>
      </c>
      <c r="P66" s="122">
        <f>VLOOKUP(O66,References!$B$7:$F$252,5,FALSE)</f>
        <v>36</v>
      </c>
    </row>
    <row r="67" spans="1:16" ht="18" customHeight="1" x14ac:dyDescent="0.2">
      <c r="A67" s="904" t="s">
        <v>95</v>
      </c>
      <c r="B67" s="897" t="s">
        <v>96</v>
      </c>
      <c r="C67" s="905" t="s">
        <v>97</v>
      </c>
      <c r="D67" s="547">
        <v>-1.79</v>
      </c>
      <c r="E67" s="547" t="s">
        <v>599</v>
      </c>
      <c r="F67" s="544" t="s">
        <v>522</v>
      </c>
      <c r="G67" s="531">
        <f>IF(ISBLANK(D67),"",IF(E67="log",K67*R_Pa*(M67+273.15)*0.001,IF(E67="dimensionless",K67*R_Pa*(M67+273.15)*0.001,IF(E67="Pa-m3/mol",D67,IF(E67="log Pa-m3/mol",10^D67,IF(E67="mol/dm3-atm",I67*101325,IF(E67="atm-m3/mol",I67*101325,0)))))))</f>
        <v>40.203975415280503</v>
      </c>
      <c r="H67" s="531">
        <f>IF(ISBLANK(D67),"",1/G67)</f>
        <v>2.4873162160474447E-2</v>
      </c>
      <c r="I67" s="531">
        <f>IF(ISBLANK(D67),"",IF(E67="log",K67*R_atm*(M67+273.15)*0.001,IF(E67="dimensionless",K67*R_atm*(M67+273.15)*0.001,IF(E67="Pa-m3/mol",D67/101325,IF(E67="log Pa-m3/mol",(10^D67)/101325,IF(E67="mol/dm3-atm",1/(D67*1000),IF(E67="atm-m3/mol",D67,0)))))))</f>
        <v>3.9678238751819053E-4</v>
      </c>
      <c r="J67" s="531">
        <f>IF(ISBLANK(D67),"",1/I67)</f>
        <v>2520.2731559100639</v>
      </c>
      <c r="K67" s="531">
        <f>IF(ISBLANK(D67),"",IF(E67="log",10^D67,IF(E67="dimensionless",D67,I67/(R_atm*(M67+273.15)*0.001))))</f>
        <v>1.6218100973589288E-2</v>
      </c>
      <c r="L67" s="531">
        <f>IF(ISBLANK(D67),"",IF(E67="log",D67,IF(E67="dimensionless",LOG(D67),LOG(K67))))</f>
        <v>-1.79</v>
      </c>
      <c r="M67" s="547">
        <v>25</v>
      </c>
      <c r="N67" s="542"/>
      <c r="O67" s="542" t="s">
        <v>570</v>
      </c>
      <c r="P67" s="100">
        <f>VLOOKUP(O67,References!$B$7:$F$252,5,FALSE)</f>
        <v>9</v>
      </c>
    </row>
    <row r="68" spans="1:16" x14ac:dyDescent="0.2">
      <c r="A68" s="904"/>
      <c r="B68" s="897"/>
      <c r="C68" s="905"/>
      <c r="D68" s="547">
        <v>-0.45</v>
      </c>
      <c r="E68" s="547" t="s">
        <v>599</v>
      </c>
      <c r="F68" s="544" t="s">
        <v>571</v>
      </c>
      <c r="G68" s="531">
        <f>IF(ISBLANK(D68),"",IF(E68="log",K68*R_Pa*(M68+273.15)*0.001,IF(E68="dimensionless",K68*R_Pa*(M68+273.15)*0.001,IF(E68="Pa-m3/mol",D68,IF(E68="log Pa-m3/mol",10^D68,IF(E68="mol/dm3-atm",I68*101325,IF(E68="atm-m3/mol",I68*101325,0)))))))</f>
        <v>879.56714543762018</v>
      </c>
      <c r="H68" s="531">
        <f>IF(ISBLANK(D68),"",1/G68)</f>
        <v>1.1369228661928471E-3</v>
      </c>
      <c r="I68" s="531">
        <f>IF(ISBLANK(D68),"",IF(E68="log",K68*R_atm*(M68+273.15)*0.001,IF(E68="dimensionless",K68*R_atm*(M68+273.15)*0.001,IF(E68="Pa-m3/mol",D68/101325,IF(E68="log Pa-m3/mol",(10^D68)/101325,IF(E68="mol/dm3-atm",1/(D68*1000),IF(E68="atm-m3/mol",D68,0)))))))</f>
        <v>8.680652804713777E-3</v>
      </c>
      <c r="J68" s="531">
        <f>IF(ISBLANK(D68),"",1/I68)</f>
        <v>115.19870941698981</v>
      </c>
      <c r="K68" s="531">
        <f>IF(ISBLANK(D68),"",IF(E68="log",10^D68,IF(E68="dimensionless",D68,I68/(R_atm*(M68+273.15)*0.001))))</f>
        <v>0.35481338923357542</v>
      </c>
      <c r="L68" s="531">
        <f>IF(ISBLANK(D68),"",IF(E68="log",D68,IF(E68="dimensionless",LOG(D68),LOG(K68))))</f>
        <v>-0.45</v>
      </c>
      <c r="M68" s="547">
        <v>25</v>
      </c>
      <c r="N68" s="542"/>
      <c r="O68" s="542" t="s">
        <v>570</v>
      </c>
      <c r="P68" s="100">
        <f>VLOOKUP(O68,References!$B$7:$F$252,5,FALSE)</f>
        <v>9</v>
      </c>
    </row>
    <row r="69" spans="1:16" ht="16" x14ac:dyDescent="0.2">
      <c r="A69" s="904"/>
      <c r="B69" s="897"/>
      <c r="C69" s="905"/>
      <c r="D69" s="547">
        <v>0.3</v>
      </c>
      <c r="E69" s="543" t="s">
        <v>599</v>
      </c>
      <c r="F69" s="544" t="s">
        <v>571</v>
      </c>
      <c r="G69" s="531">
        <f>IF(ISBLANK(D69),"",IF(E69="log",K69*R_Pa*(M69+273.15)*0.001,IF(E69="dimensionless",K69*R_Pa*(M69+273.15)*0.001,IF(E69="Pa-m3/mol",D69,IF(E69="log Pa-m3/mol",10^D69,IF(E69="mol/dm3-atm",I69*101325,IF(E69="atm-m3/mol",I69*101325,0)))))))</f>
        <v>4946.1695415928389</v>
      </c>
      <c r="H69" s="531">
        <f>IF(ISBLANK(D69),"",1/G69)</f>
        <v>2.0217665237531773E-4</v>
      </c>
      <c r="I69" s="531">
        <f>IF(ISBLANK(D69),"",IF(E69="log",K69*R_atm*(M69+273.15)*0.001,IF(E69="dimensionless",K69*R_atm*(M69+273.15)*0.001,IF(E69="Pa-m3/mol",D69/101325,IF(E69="log Pa-m3/mol",(10^D69)/101325,IF(E69="mol/dm3-atm",1/(D69*1000),IF(E69="atm-m3/mol",D69,0)))))))</f>
        <v>4.8814898017200667E-2</v>
      </c>
      <c r="J69" s="531">
        <f>IF(ISBLANK(D69),"",1/I69)</f>
        <v>20.485549301928991</v>
      </c>
      <c r="K69" s="531">
        <f>IF(ISBLANK(D69),"",IF(E69="log",10^D69,IF(E69="dimensionless",D69,I69/(R_atm*(M69+273.15)*0.001))))</f>
        <v>1.9952623149688797</v>
      </c>
      <c r="L69" s="531">
        <f>IF(ISBLANK(D69),"",IF(E69="log",D69,IF(E69="dimensionless",LOG(D69),LOG(K69))))</f>
        <v>0.3</v>
      </c>
      <c r="M69" s="546">
        <v>25</v>
      </c>
      <c r="N69" s="542"/>
      <c r="O69" s="542" t="s">
        <v>602</v>
      </c>
      <c r="P69" s="100">
        <f>VLOOKUP(O69,References!$B$7:$F$252,5,FALSE)</f>
        <v>101</v>
      </c>
    </row>
    <row r="70" spans="1:16" ht="16" x14ac:dyDescent="0.2">
      <c r="A70" s="904"/>
      <c r="B70" s="897"/>
      <c r="C70" s="905"/>
      <c r="D70" s="547">
        <v>2.0099999999999998</v>
      </c>
      <c r="E70" s="543" t="s">
        <v>599</v>
      </c>
      <c r="F70" s="544" t="s">
        <v>513</v>
      </c>
      <c r="G70" s="531">
        <f>IF(ISBLANK(D70),"",IF(E70="log",K70*R_Pa*(M70+273.15)*0.001,IF(E70="dimensionless",K70*R_Pa*(M70+273.15)*0.001,IF(E70="Pa-m3/mol",D70,IF(E70="log Pa-m3/mol",10^D70,IF(E70="mol/dm3-atm",I70*101325,IF(E70="atm-m3/mol",I70*101325,0)))))))</f>
        <v>253669.93565572388</v>
      </c>
      <c r="H70" s="531">
        <f>IF(ISBLANK(D70),"",1/G70)</f>
        <v>3.9421305383117271E-6</v>
      </c>
      <c r="I70" s="531">
        <f>IF(ISBLANK(D70),"",IF(E70="log",K70*R_atm*(M70+273.15)*0.001,IF(E70="dimensionless",K70*R_atm*(M70+273.15)*0.001,IF(E70="Pa-m3/mol",D70/101325,IF(E70="log Pa-m3/mol",(10^D70)/101325,IF(E70="mol/dm3-atm",1/(D70*1000),IF(E70="atm-m3/mol",D70,0)))))))</f>
        <v>2.5035276156498876</v>
      </c>
      <c r="J70" s="531">
        <f>IF(ISBLANK(D70),"",1/I70)</f>
        <v>0.39943637679443422</v>
      </c>
      <c r="K70" s="531">
        <f>IF(ISBLANK(D70),"",IF(E70="log",10^D70,IF(E70="dimensionless",D70,I70/(R_atm*(M70+273.15)*0.001))))</f>
        <v>102.32929922807544</v>
      </c>
      <c r="L70" s="531">
        <f>IF(ISBLANK(D70),"",IF(E70="log",D70,IF(E70="dimensionless",LOG(D70),LOG(K70))))</f>
        <v>2.0099999999999998</v>
      </c>
      <c r="M70" s="546">
        <v>25</v>
      </c>
      <c r="N70" s="542"/>
      <c r="O70" s="542" t="s">
        <v>602</v>
      </c>
      <c r="P70" s="100">
        <f>VLOOKUP(O70,References!$B$7:$F$252,5,FALSE)</f>
        <v>101</v>
      </c>
    </row>
    <row r="71" spans="1:16" ht="16" x14ac:dyDescent="0.2">
      <c r="A71" s="904"/>
      <c r="B71" s="897"/>
      <c r="C71" s="905"/>
      <c r="D71" s="547">
        <v>-1.27</v>
      </c>
      <c r="E71" s="543" t="s">
        <v>599</v>
      </c>
      <c r="F71" s="544" t="s">
        <v>522</v>
      </c>
      <c r="G71" s="531">
        <f>IF(ISBLANK(D71),"",IF(E71="log",K71*R_Pa*(M71+273.15)*0.001,IF(E71="dimensionless",K71*R_Pa*(M71+273.15)*0.001,IF(E71="Pa-m3/mol",D71,IF(E71="log Pa-m3/mol",10^D71,IF(E71="mol/dm3-atm",I71*101325,IF(E71="atm-m3/mol",I71*101325,0)))))))</f>
        <v>133.12787467320359</v>
      </c>
      <c r="H71" s="531">
        <f>IF(ISBLANK(D71),"",1/G71)</f>
        <v>7.5115748858363115E-3</v>
      </c>
      <c r="I71" s="531">
        <f>IF(ISBLANK(D71),"",IF(E71="log",K71*R_atm*(M71+273.15)*0.001,IF(E71="dimensionless",K71*R_atm*(M71+273.15)*0.001,IF(E71="Pa-m3/mol",D71/101325,IF(E71="log Pa-m3/mol",(10^D71)/101325,IF(E71="mol/dm3-atm",1/(D71*1000),IF(E71="atm-m3/mol",D71,0)))))))</f>
        <v>1.3138699696343854E-3</v>
      </c>
      <c r="J71" s="531">
        <f>IF(ISBLANK(D71),"",1/I71)</f>
        <v>761.11032530736134</v>
      </c>
      <c r="K71" s="531">
        <f>IF(ISBLANK(D71),"",IF(E71="log",10^D71,IF(E71="dimensionless",D71,I71/(R_atm*(M71+273.15)*0.001))))</f>
        <v>5.3703179637025256E-2</v>
      </c>
      <c r="L71" s="531">
        <f>IF(ISBLANK(D71),"",IF(E71="log",D71,IF(E71="dimensionless",LOG(D71),LOG(K71))))</f>
        <v>-1.27</v>
      </c>
      <c r="M71" s="546">
        <v>25</v>
      </c>
      <c r="N71" s="542"/>
      <c r="O71" s="542" t="s">
        <v>523</v>
      </c>
      <c r="P71" s="100">
        <f>VLOOKUP(O71,References!$B$7:$F$252,5,FALSE)</f>
        <v>127</v>
      </c>
    </row>
    <row r="72" spans="1:16" x14ac:dyDescent="0.2">
      <c r="A72" s="904"/>
      <c r="B72" s="897"/>
      <c r="C72" s="905"/>
      <c r="D72" s="547">
        <v>3.7</v>
      </c>
      <c r="E72" s="547" t="s">
        <v>599</v>
      </c>
      <c r="F72" s="544" t="s">
        <v>601</v>
      </c>
      <c r="G72" s="531">
        <f t="shared" si="23"/>
        <v>12424216.159473035</v>
      </c>
      <c r="H72" s="531">
        <f t="shared" si="18"/>
        <v>8.0487975029115581E-8</v>
      </c>
      <c r="I72" s="531">
        <f t="shared" si="24"/>
        <v>122.6174799849305</v>
      </c>
      <c r="J72" s="531">
        <f t="shared" si="20"/>
        <v>8.1554440698251053E-3</v>
      </c>
      <c r="K72" s="531">
        <f t="shared" si="25"/>
        <v>5011.8723362727324</v>
      </c>
      <c r="L72" s="531">
        <f t="shared" si="22"/>
        <v>3.7</v>
      </c>
      <c r="M72" s="547">
        <v>25</v>
      </c>
      <c r="N72" s="542"/>
      <c r="O72" s="542" t="s">
        <v>525</v>
      </c>
      <c r="P72" s="100">
        <f>VLOOKUP(O72,References!$B$7:$F$252,5,FALSE)</f>
        <v>61</v>
      </c>
    </row>
    <row r="73" spans="1:16" ht="16" x14ac:dyDescent="0.2">
      <c r="A73" s="904"/>
      <c r="B73" s="897"/>
      <c r="C73" s="905"/>
      <c r="D73" s="552">
        <v>1.5E-10</v>
      </c>
      <c r="E73" s="553" t="s">
        <v>594</v>
      </c>
      <c r="F73" s="554" t="s">
        <v>515</v>
      </c>
      <c r="G73" s="533">
        <f t="shared" si="23"/>
        <v>1.5198749999999999E-5</v>
      </c>
      <c r="H73" s="533">
        <f t="shared" si="18"/>
        <v>65794.884447734192</v>
      </c>
      <c r="I73" s="533">
        <f t="shared" si="24"/>
        <v>1.5E-10</v>
      </c>
      <c r="J73" s="533">
        <f t="shared" si="20"/>
        <v>6666666666.666667</v>
      </c>
      <c r="K73" s="533">
        <f t="shared" si="25"/>
        <v>6.1311066785363933E-9</v>
      </c>
      <c r="L73" s="533">
        <f t="shared" si="22"/>
        <v>-8.2124611272756969</v>
      </c>
      <c r="M73" s="553">
        <v>25</v>
      </c>
      <c r="N73" s="555"/>
      <c r="O73" s="555" t="s">
        <v>511</v>
      </c>
      <c r="P73" s="122">
        <f>VLOOKUP(O73,References!$B$7:$F$252,5,FALSE)</f>
        <v>36</v>
      </c>
    </row>
    <row r="74" spans="1:16" ht="18" customHeight="1" x14ac:dyDescent="0.2">
      <c r="A74" s="898" t="s">
        <v>106</v>
      </c>
      <c r="B74" s="900" t="s">
        <v>107</v>
      </c>
      <c r="C74" s="902" t="s">
        <v>108</v>
      </c>
      <c r="D74" s="547">
        <v>-1.52</v>
      </c>
      <c r="E74" s="547" t="s">
        <v>599</v>
      </c>
      <c r="F74" s="544" t="s">
        <v>522</v>
      </c>
      <c r="G74" s="531">
        <f>IF(ISBLANK(D74),"",IF(E74="log",K74*R_Pa*(M74+273.15)*0.001,IF(E74="dimensionless",K74*R_Pa*(M74+273.15)*0.001,IF(E74="Pa-m3/mol",D74,IF(E74="log Pa-m3/mol",10^D74,IF(E74="mol/dm3-atm",I74*101325,IF(E74="atm-m3/mol",I74*101325,0)))))))</f>
        <v>74.863305463504005</v>
      </c>
      <c r="H74" s="531">
        <f>IF(ISBLANK(D74),"",1/G74)</f>
        <v>1.3357678956448186E-2</v>
      </c>
      <c r="I74" s="531">
        <f>IF(ISBLANK(D74),"",IF(E74="log",K74*R_atm*(M74+273.15)*0.001,IF(E74="dimensionless",K74*R_atm*(M74+273.15)*0.001,IF(E74="Pa-m3/mol",D74/101325,IF(E74="log Pa-m3/mol",(10^D74)/101325,IF(E74="mol/dm3-atm",1/(D74*1000),IF(E74="atm-m3/mol",D74,0)))))))</f>
        <v>7.388433798520039E-4</v>
      </c>
      <c r="J74" s="531">
        <f>IF(ISBLANK(D74),"",1/I74)</f>
        <v>1353.4668202621074</v>
      </c>
      <c r="K74" s="531">
        <f>IF(ISBLANK(D74),"",IF(E74="log",10^D74,IF(E74="dimensionless",D74,I74/(R_atm*(M74+273.15)*0.001))))</f>
        <v>3.0199517204020147E-2</v>
      </c>
      <c r="L74" s="531">
        <f>IF(ISBLANK(D74),"",IF(E74="log",D74,IF(E74="dimensionless",LOG(D74),LOG(K74))))</f>
        <v>-1.52</v>
      </c>
      <c r="M74" s="547">
        <v>25</v>
      </c>
      <c r="N74" s="542"/>
      <c r="O74" s="542" t="s">
        <v>570</v>
      </c>
      <c r="P74" s="100">
        <f>VLOOKUP(O74,References!$B$7:$F$252,5,FALSE)</f>
        <v>9</v>
      </c>
    </row>
    <row r="75" spans="1:16" x14ac:dyDescent="0.2">
      <c r="A75" s="904"/>
      <c r="B75" s="897"/>
      <c r="C75" s="905"/>
      <c r="D75" s="547">
        <v>0.33</v>
      </c>
      <c r="E75" s="547" t="s">
        <v>599</v>
      </c>
      <c r="F75" s="544" t="s">
        <v>571</v>
      </c>
      <c r="G75" s="531">
        <f>IF(ISBLANK(D75),"",IF(E75="log",K75*R_Pa*(M75+273.15)*0.001,IF(E75="dimensionless",K75*R_Pa*(M75+273.15)*0.001,IF(E75="Pa-m3/mol",D75,IF(E75="log Pa-m3/mol",10^D75,IF(E75="mol/dm3-atm",I75*101325,IF(E75="atm-m3/mol",I75*101325,0)))))))</f>
        <v>5299.9161507949702</v>
      </c>
      <c r="H75" s="531">
        <f>IF(ISBLANK(D75),"",1/G75)</f>
        <v>1.8868223035000342E-4</v>
      </c>
      <c r="I75" s="531">
        <f>IF(ISBLANK(D75),"",IF(E75="log",K75*R_atm*(M75+273.15)*0.001,IF(E75="dimensionless",K75*R_atm*(M75+273.15)*0.001,IF(E75="Pa-m3/mol",D75/101325,IF(E75="log Pa-m3/mol",(10^D75)/101325,IF(E75="mol/dm3-atm",1/(D75*1000),IF(E75="atm-m3/mol",D75,0)))))))</f>
        <v>5.2306105608635481E-2</v>
      </c>
      <c r="J75" s="531">
        <f>IF(ISBLANK(D75),"",1/I75)</f>
        <v>19.118226990214023</v>
      </c>
      <c r="K75" s="531">
        <f>IF(ISBLANK(D75),"",IF(E75="log",10^D75,IF(E75="dimensionless",D75,I75/(R_atm*(M75+273.15)*0.001))))</f>
        <v>2.1379620895022322</v>
      </c>
      <c r="L75" s="531">
        <f>IF(ISBLANK(D75),"",IF(E75="log",D75,IF(E75="dimensionless",LOG(D75),LOG(K75))))</f>
        <v>0.33</v>
      </c>
      <c r="M75" s="547">
        <v>25</v>
      </c>
      <c r="N75" s="542"/>
      <c r="O75" s="542" t="s">
        <v>570</v>
      </c>
      <c r="P75" s="100">
        <f>VLOOKUP(O75,References!$B$7:$F$252,5,FALSE)</f>
        <v>9</v>
      </c>
    </row>
    <row r="76" spans="1:16" ht="16" x14ac:dyDescent="0.2">
      <c r="A76" s="904"/>
      <c r="B76" s="897"/>
      <c r="C76" s="905"/>
      <c r="D76" s="547">
        <v>1.29</v>
      </c>
      <c r="E76" s="543" t="s">
        <v>599</v>
      </c>
      <c r="F76" s="544" t="s">
        <v>571</v>
      </c>
      <c r="G76" s="531">
        <f>IF(ISBLANK(D76),"",IF(E76="log",K76*R_Pa*(M76+273.15)*0.001,IF(E76="dimensionless",K76*R_Pa*(M76+273.15)*0.001,IF(E76="Pa-m3/mol",D76,IF(E76="log Pa-m3/mol",10^D76,IF(E76="mol/dm3-atm",I76*101325,IF(E76="atm-m3/mol",I76*101325,0)))))))</f>
        <v>48335.809772024644</v>
      </c>
      <c r="H76" s="531">
        <f>IF(ISBLANK(D76),"",1/G76)</f>
        <v>2.0688595157844461E-5</v>
      </c>
      <c r="I76" s="531">
        <f>IF(ISBLANK(D76),"",IF(E76="log",K76*R_atm*(M76+273.15)*0.001,IF(E76="dimensionless",K76*R_atm*(M76+273.15)*0.001,IF(E76="Pa-m3/mol",D76/101325,IF(E76="log Pa-m3/mol",(10^D76)/101325,IF(E76="mol/dm3-atm",1/(D76*1000),IF(E76="atm-m3/mol",D76,0)))))))</f>
        <v>0.47703735279570519</v>
      </c>
      <c r="J76" s="531">
        <f>IF(ISBLANK(D76),"",1/I76)</f>
        <v>2.096271904368582</v>
      </c>
      <c r="K76" s="531">
        <f>IF(ISBLANK(D76),"",IF(E76="log",10^D76,IF(E76="dimensionless",D76,I76/(R_atm*(M76+273.15)*0.001))))</f>
        <v>19.498445997580465</v>
      </c>
      <c r="L76" s="531">
        <f>IF(ISBLANK(D76),"",IF(E76="log",D76,IF(E76="dimensionless",LOG(D76),LOG(K76))))</f>
        <v>1.29</v>
      </c>
      <c r="M76" s="546">
        <v>25</v>
      </c>
      <c r="N76" s="542"/>
      <c r="O76" s="542" t="s">
        <v>602</v>
      </c>
      <c r="P76" s="100">
        <f>VLOOKUP(O76,References!$B$7:$F$252,5,FALSE)</f>
        <v>101</v>
      </c>
    </row>
    <row r="77" spans="1:16" ht="16" x14ac:dyDescent="0.2">
      <c r="A77" s="904"/>
      <c r="B77" s="897"/>
      <c r="C77" s="905"/>
      <c r="D77" s="547">
        <v>2.73</v>
      </c>
      <c r="E77" s="543" t="s">
        <v>599</v>
      </c>
      <c r="F77" s="544" t="s">
        <v>513</v>
      </c>
      <c r="G77" s="531">
        <f>IF(ISBLANK(D77),"",IF(E77="log",K77*R_Pa*(M77+273.15)*0.001,IF(E77="dimensionless",K77*R_Pa*(M77+273.15)*0.001,IF(E77="Pa-m3/mol",D77,IF(E77="log Pa-m3/mol",10^D77,IF(E77="mol/dm3-atm",I77*101325,IF(E77="atm-m3/mol",I77*101325,0)))))))</f>
        <v>1331278.746732037</v>
      </c>
      <c r="H77" s="531">
        <f>IF(ISBLANK(D77),"",1/G77)</f>
        <v>7.5115748858363043E-7</v>
      </c>
      <c r="I77" s="531">
        <f>IF(ISBLANK(D77),"",IF(E77="log",K77*R_atm*(M77+273.15)*0.001,IF(E77="dimensionless",K77*R_atm*(M77+273.15)*0.001,IF(E77="Pa-m3/mol",D77/101325,IF(E77="log Pa-m3/mol",(10^D77)/101325,IF(E77="mol/dm3-atm",1/(D77*1000),IF(E77="atm-m3/mol",D77,0)))))))</f>
        <v>13.138699696343863</v>
      </c>
      <c r="J77" s="531">
        <f>IF(ISBLANK(D77),"",1/I77)</f>
        <v>7.6111032530736075E-2</v>
      </c>
      <c r="K77" s="531">
        <f>IF(ISBLANK(D77),"",IF(E77="log",10^D77,IF(E77="dimensionless",D77,I77/(R_atm*(M77+273.15)*0.001))))</f>
        <v>537.03179637025301</v>
      </c>
      <c r="L77" s="531">
        <f>IF(ISBLANK(D77),"",IF(E77="log",D77,IF(E77="dimensionless",LOG(D77),LOG(K77))))</f>
        <v>2.73</v>
      </c>
      <c r="M77" s="546">
        <v>25</v>
      </c>
      <c r="N77" s="542"/>
      <c r="O77" s="542" t="s">
        <v>602</v>
      </c>
      <c r="P77" s="100">
        <f>VLOOKUP(O77,References!$B$7:$F$252,5,FALSE)</f>
        <v>101</v>
      </c>
    </row>
    <row r="78" spans="1:16" ht="16" x14ac:dyDescent="0.2">
      <c r="A78" s="904"/>
      <c r="B78" s="897"/>
      <c r="C78" s="905"/>
      <c r="D78" s="547">
        <v>-0.92</v>
      </c>
      <c r="E78" s="543" t="s">
        <v>599</v>
      </c>
      <c r="F78" s="544" t="s">
        <v>522</v>
      </c>
      <c r="G78" s="531">
        <f>IF(ISBLANK(D78),"",IF(E78="log",K78*R_Pa*(M78+273.15)*0.001,IF(E78="dimensionless",K78*R_Pa*(M78+273.15)*0.001,IF(E78="Pa-m3/mol",D78,IF(E78="log Pa-m3/mol",10^D78,IF(E78="mol/dm3-atm",I78*101325,IF(E78="atm-m3/mol",I78*101325,0)))))))</f>
        <v>298.03618716357772</v>
      </c>
      <c r="H78" s="531">
        <f>IF(ISBLANK(D78),"",1/G78)</f>
        <v>3.3552972527163224E-3</v>
      </c>
      <c r="I78" s="531">
        <f>IF(ISBLANK(D78),"",IF(E78="log",K78*R_atm*(M78+273.15)*0.001,IF(E78="dimensionless",K78*R_atm*(M78+273.15)*0.001,IF(E78="Pa-m3/mol",D78/101325,IF(E78="log Pa-m3/mol",(10^D78)/101325,IF(E78="mol/dm3-atm",1/(D78*1000),IF(E78="atm-m3/mol",D78,0)))))))</f>
        <v>2.9413884743506417E-3</v>
      </c>
      <c r="J78" s="531">
        <f>IF(ISBLANK(D78),"",1/I78)</f>
        <v>339.97549413148016</v>
      </c>
      <c r="K78" s="531">
        <f>IF(ISBLANK(D78),"",IF(E78="log",10^D78,IF(E78="dimensionless",D78,I78/(R_atm*(M78+273.15)*0.001))))</f>
        <v>0.12022644346174129</v>
      </c>
      <c r="L78" s="531">
        <f>IF(ISBLANK(D78),"",IF(E78="log",D78,IF(E78="dimensionless",LOG(D78),LOG(K78))))</f>
        <v>-0.92</v>
      </c>
      <c r="M78" s="546">
        <v>25</v>
      </c>
      <c r="N78" s="542"/>
      <c r="O78" s="542" t="s">
        <v>523</v>
      </c>
      <c r="P78" s="100">
        <f>VLOOKUP(O78,References!$B$7:$F$252,5,FALSE)</f>
        <v>127</v>
      </c>
    </row>
    <row r="79" spans="1:16" x14ac:dyDescent="0.2">
      <c r="A79" s="904"/>
      <c r="B79" s="897"/>
      <c r="C79" s="905"/>
      <c r="D79" s="547">
        <v>4.18</v>
      </c>
      <c r="E79" s="547" t="s">
        <v>599</v>
      </c>
      <c r="F79" s="544" t="s">
        <v>601</v>
      </c>
      <c r="G79" s="531">
        <f t="shared" si="23"/>
        <v>37520532.965447091</v>
      </c>
      <c r="H79" s="531">
        <f t="shared" si="18"/>
        <v>2.6652073437253855E-8</v>
      </c>
      <c r="I79" s="531">
        <f t="shared" si="24"/>
        <v>370.29886963185032</v>
      </c>
      <c r="J79" s="531">
        <f t="shared" si="20"/>
        <v>2.7005213410297366E-3</v>
      </c>
      <c r="K79" s="531">
        <f t="shared" si="25"/>
        <v>15135.612484362096</v>
      </c>
      <c r="L79" s="531">
        <f t="shared" si="22"/>
        <v>4.18</v>
      </c>
      <c r="M79" s="547">
        <v>25</v>
      </c>
      <c r="N79" s="542"/>
      <c r="O79" s="542" t="s">
        <v>525</v>
      </c>
      <c r="P79" s="100">
        <f>VLOOKUP(O79,References!$B$7:$F$252,5,FALSE)</f>
        <v>61</v>
      </c>
    </row>
    <row r="80" spans="1:16" ht="16" x14ac:dyDescent="0.2">
      <c r="A80" s="899"/>
      <c r="B80" s="901"/>
      <c r="C80" s="903"/>
      <c r="D80" s="552">
        <v>3.3399999999999998E-10</v>
      </c>
      <c r="E80" s="553" t="s">
        <v>594</v>
      </c>
      <c r="F80" s="554" t="s">
        <v>515</v>
      </c>
      <c r="G80" s="533">
        <f t="shared" si="23"/>
        <v>3.3842549999999997E-5</v>
      </c>
      <c r="H80" s="533">
        <f t="shared" si="18"/>
        <v>29548.600799880627</v>
      </c>
      <c r="I80" s="533">
        <f t="shared" si="24"/>
        <v>3.3399999999999998E-10</v>
      </c>
      <c r="J80" s="533">
        <f t="shared" si="20"/>
        <v>2994011976.0479045</v>
      </c>
      <c r="K80" s="533">
        <f t="shared" si="25"/>
        <v>1.365193087087437E-8</v>
      </c>
      <c r="L80" s="533">
        <f t="shared" si="22"/>
        <v>-7.8648059195198137</v>
      </c>
      <c r="M80" s="553">
        <v>25</v>
      </c>
      <c r="N80" s="555"/>
      <c r="O80" s="555" t="s">
        <v>511</v>
      </c>
      <c r="P80" s="122">
        <f>VLOOKUP(O80,References!$B$7:$F$252,5,FALSE)</f>
        <v>36</v>
      </c>
    </row>
    <row r="81" spans="1:18" ht="16" x14ac:dyDescent="0.2">
      <c r="A81" s="904" t="s">
        <v>117</v>
      </c>
      <c r="B81" s="897" t="s">
        <v>118</v>
      </c>
      <c r="C81" s="905" t="s">
        <v>119</v>
      </c>
      <c r="D81" s="547">
        <v>-0.57999999999999996</v>
      </c>
      <c r="E81" s="543" t="s">
        <v>599</v>
      </c>
      <c r="F81" s="544" t="s">
        <v>522</v>
      </c>
      <c r="G81" s="531">
        <f>IF(ISBLANK(D81),"",IF(E81="log",K81*R_Pa*(M81+273.15)*0.001,IF(E81="dimensionless",K81*R_Pa*(M81+273.15)*0.001,IF(E81="Pa-m3/mol",D81,IF(E81="log Pa-m3/mol",10^D81,IF(E81="mol/dm3-atm",I81*101325,IF(E81="atm-m3/mol",I81*101325,0)))))))</f>
        <v>652.03213282472154</v>
      </c>
      <c r="H81" s="531">
        <f>IF(ISBLANK(D81),"",1/G81)</f>
        <v>1.5336667468638678E-3</v>
      </c>
      <c r="I81" s="531">
        <f>IF(ISBLANK(D81),"",IF(E81="log",K81*R_atm*(M81+273.15)*0.001,IF(E81="dimensionless",K81*R_atm*(M81+273.15)*0.001,IF(E81="Pa-m3/mol",D81/101325,IF(E81="log Pa-m3/mol",(10^D81)/101325,IF(E81="mol/dm3-atm",1/(D81*1000),IF(E81="atm-m3/mol",D81,0)))))))</f>
        <v>6.4350568253118577E-3</v>
      </c>
      <c r="J81" s="531">
        <f>IF(ISBLANK(D81),"",1/I81)</f>
        <v>155.39878312598083</v>
      </c>
      <c r="K81" s="531">
        <f>IF(ISBLANK(D81),"",IF(E81="log",10^D81,IF(E81="dimensionless",D81,I81/(R_atm*(M81+273.15)*0.001))))</f>
        <v>0.2630267991895382</v>
      </c>
      <c r="L81" s="531">
        <f>IF(ISBLANK(D81),"",IF(E81="log",D81,IF(E81="dimensionless",LOG(D81),LOG(K81))))</f>
        <v>-0.57999999999999996</v>
      </c>
      <c r="M81" s="546">
        <v>25</v>
      </c>
      <c r="N81" s="542"/>
      <c r="O81" s="542" t="s">
        <v>523</v>
      </c>
      <c r="P81" s="100">
        <f>VLOOKUP(O81,References!$B$7:$F$252,5,FALSE)</f>
        <v>127</v>
      </c>
    </row>
    <row r="82" spans="1:18" x14ac:dyDescent="0.2">
      <c r="A82" s="904"/>
      <c r="B82" s="897"/>
      <c r="C82" s="905"/>
      <c r="D82" s="331">
        <v>-1.2</v>
      </c>
      <c r="E82" s="547" t="s">
        <v>599</v>
      </c>
      <c r="F82" s="544" t="s">
        <v>601</v>
      </c>
      <c r="G82" s="531">
        <f>IF(ISBLANK(D82),"",IF(E82="log",K82*R_Pa*(M82+273.15)*0.001,IF(E82="dimensionless",K82*R_Pa*(M82+273.15)*0.001,IF(E82="Pa-m3/mol",D82,IF(E82="log Pa-m3/mol",10^D82,IF(E82="mol/dm3-atm",I82*101325,IF(E82="atm-m3/mol",I82*101325,0)))))))</f>
        <v>156.41161444784305</v>
      </c>
      <c r="H82" s="531">
        <f>IF(ISBLANK(D82),"",1/G82)</f>
        <v>6.3933871121409566E-3</v>
      </c>
      <c r="I82" s="531">
        <f>IF(ISBLANK(D82),"",IF(E82="log",K82*R_atm*(M82+273.15)*0.001,IF(E82="dimensionless",K82*R_atm*(M82+273.15)*0.001,IF(E82="Pa-m3/mol",D82/101325,IF(E82="log Pa-m3/mol",(10^D82)/101325,IF(E82="mol/dm3-atm",1/(D82*1000),IF(E82="atm-m3/mol",D82,0)))))))</f>
        <v>1.5436626148319138E-3</v>
      </c>
      <c r="J82" s="531">
        <f>IF(ISBLANK(D82),"",1/I82)</f>
        <v>647.80994913767984</v>
      </c>
      <c r="K82" s="531">
        <f>IF(ISBLANK(D82),"",IF(E82="log",10^D82,IF(E82="dimensionless",D82,I82/(R_atm*(M82+273.15)*0.001))))</f>
        <v>6.3095734448019317E-2</v>
      </c>
      <c r="L82" s="531">
        <f>IF(ISBLANK(D82),"",IF(E82="log",D82,IF(E82="dimensionless",LOG(D82),LOG(K82))))</f>
        <v>-1.2</v>
      </c>
      <c r="M82" s="547">
        <v>25</v>
      </c>
      <c r="N82" s="542"/>
      <c r="O82" s="542" t="s">
        <v>607</v>
      </c>
      <c r="P82" s="100">
        <f>VLOOKUP(O82,References!$B$7:$F$252,5,FALSE)</f>
        <v>98</v>
      </c>
    </row>
    <row r="83" spans="1:18" x14ac:dyDescent="0.2">
      <c r="A83" s="904"/>
      <c r="B83" s="897"/>
      <c r="C83" s="905"/>
      <c r="D83" s="547">
        <v>4.21</v>
      </c>
      <c r="E83" s="547" t="s">
        <v>599</v>
      </c>
      <c r="F83" s="544" t="s">
        <v>601</v>
      </c>
      <c r="G83" s="531">
        <f t="shared" si="23"/>
        <v>40203975.415280566</v>
      </c>
      <c r="H83" s="531">
        <f t="shared" si="18"/>
        <v>2.4873162160474411E-8</v>
      </c>
      <c r="I83" s="531">
        <f t="shared" si="24"/>
        <v>396.782387518191</v>
      </c>
      <c r="J83" s="531">
        <f t="shared" si="20"/>
        <v>2.5202731559100609E-3</v>
      </c>
      <c r="K83" s="531">
        <f t="shared" si="25"/>
        <v>16218.100973589309</v>
      </c>
      <c r="L83" s="531">
        <f t="shared" si="22"/>
        <v>4.21</v>
      </c>
      <c r="M83" s="547">
        <v>25</v>
      </c>
      <c r="N83" s="542"/>
      <c r="O83" s="542" t="s">
        <v>525</v>
      </c>
      <c r="P83" s="100">
        <f>VLOOKUP(O83,References!$B$7:$F$252,5,FALSE)</f>
        <v>61</v>
      </c>
    </row>
    <row r="84" spans="1:18" ht="16" x14ac:dyDescent="0.2">
      <c r="A84" s="904"/>
      <c r="B84" s="897"/>
      <c r="C84" s="905"/>
      <c r="D84" s="552">
        <v>3.4000000000000001E-10</v>
      </c>
      <c r="E84" s="553" t="s">
        <v>594</v>
      </c>
      <c r="F84" s="554" t="s">
        <v>515</v>
      </c>
      <c r="G84" s="533">
        <f t="shared" si="23"/>
        <v>3.4450499999999998E-5</v>
      </c>
      <c r="H84" s="533">
        <f t="shared" ref="H84:H90" si="32">IF(ISBLANK(D84),"",1/G84)</f>
        <v>29027.154903412145</v>
      </c>
      <c r="I84" s="533">
        <f t="shared" si="24"/>
        <v>3.4000000000000001E-10</v>
      </c>
      <c r="J84" s="533">
        <f t="shared" ref="J84:J90" si="33">IF(ISBLANK(D84),"",1/I84)</f>
        <v>2941176470.5882354</v>
      </c>
      <c r="K84" s="533">
        <f t="shared" si="25"/>
        <v>1.3897175138015826E-8</v>
      </c>
      <c r="L84" s="533">
        <f t="shared" ref="L84:L90" si="34">IF(ISBLANK(D84),"",IF(E84="log",D84,IF(E84="dimensionless",LOG(D84),LOG(K84))))</f>
        <v>-7.8570734692891229</v>
      </c>
      <c r="M84" s="553">
        <v>25</v>
      </c>
      <c r="N84" s="555"/>
      <c r="O84" s="555" t="s">
        <v>511</v>
      </c>
      <c r="P84" s="122">
        <f>VLOOKUP(O84,References!$B$7:$F$252,5,FALSE)</f>
        <v>36</v>
      </c>
    </row>
    <row r="85" spans="1:18" ht="18" customHeight="1" x14ac:dyDescent="0.2">
      <c r="A85" s="898" t="s">
        <v>126</v>
      </c>
      <c r="B85" s="900" t="s">
        <v>127</v>
      </c>
      <c r="C85" s="902" t="s">
        <v>128</v>
      </c>
      <c r="D85" s="547">
        <v>-0.38</v>
      </c>
      <c r="E85" s="543" t="s">
        <v>599</v>
      </c>
      <c r="F85" s="544" t="s">
        <v>522</v>
      </c>
      <c r="G85" s="531">
        <f>IF(ISBLANK(D85),"",IF(E85="log",K85*R_Pa*(M85+273.15)*0.001,IF(E85="dimensionless",K85*R_Pa*(M85+273.15)*0.001,IF(E85="Pa-m3/mol",D85,IF(E85="log Pa-m3/mol",10^D85,IF(E85="mol/dm3-atm",I85*101325,IF(E85="atm-m3/mol",I85*101325,0)))))))</f>
        <v>1033.4012885798015</v>
      </c>
      <c r="H85" s="531">
        <f>IF(ISBLANK(D85),"",1/G85)</f>
        <v>9.6767829791880294E-4</v>
      </c>
      <c r="I85" s="531">
        <f>IF(ISBLANK(D85),"",IF(E85="log",K85*R_atm*(M85+273.15)*0.001,IF(E85="dimensionless",K85*R_atm*(M85+273.15)*0.001,IF(E85="Pa-m3/mol",D85/101325,IF(E85="log Pa-m3/mol",(10^D85)/101325,IF(E85="mol/dm3-atm",1/(D85*1000),IF(E85="atm-m3/mol",D85,0)))))))</f>
        <v>1.0198877755537187E-2</v>
      </c>
      <c r="J85" s="531">
        <f>IF(ISBLANK(D85),"",1/I85)</f>
        <v>98.050003536622327</v>
      </c>
      <c r="K85" s="531">
        <f>IF(ISBLANK(D85),"",IF(E85="log",10^D85,IF(E85="dimensionless",D85,I85/(R_atm*(M85+273.15)*0.001))))</f>
        <v>0.41686938347033536</v>
      </c>
      <c r="L85" s="531">
        <f>IF(ISBLANK(D85),"",IF(E85="log",D85,IF(E85="dimensionless",LOG(D85),LOG(K85))))</f>
        <v>-0.38</v>
      </c>
      <c r="M85" s="546">
        <v>25</v>
      </c>
      <c r="N85" s="542"/>
      <c r="O85" s="542" t="s">
        <v>523</v>
      </c>
      <c r="P85" s="100">
        <f>VLOOKUP(O85,References!$B$7:$F$252,5,FALSE)</f>
        <v>127</v>
      </c>
    </row>
    <row r="86" spans="1:18" ht="16" x14ac:dyDescent="0.2">
      <c r="A86" s="899"/>
      <c r="B86" s="901"/>
      <c r="C86" s="903"/>
      <c r="D86" s="552">
        <v>3.4799999999999999E-10</v>
      </c>
      <c r="E86" s="553" t="s">
        <v>594</v>
      </c>
      <c r="F86" s="554" t="s">
        <v>515</v>
      </c>
      <c r="G86" s="533">
        <f t="shared" si="23"/>
        <v>3.52611E-5</v>
      </c>
      <c r="H86" s="533">
        <f t="shared" si="32"/>
        <v>28359.863986092321</v>
      </c>
      <c r="I86" s="533">
        <f t="shared" si="24"/>
        <v>3.4799999999999999E-10</v>
      </c>
      <c r="J86" s="533">
        <f t="shared" si="33"/>
        <v>2873563218.3908048</v>
      </c>
      <c r="K86" s="533">
        <f t="shared" si="25"/>
        <v>1.4224167494204433E-8</v>
      </c>
      <c r="L86" s="533">
        <f t="shared" si="34"/>
        <v>-7.8469731423847966</v>
      </c>
      <c r="M86" s="553">
        <v>25</v>
      </c>
      <c r="N86" s="555"/>
      <c r="O86" s="555" t="s">
        <v>511</v>
      </c>
      <c r="P86" s="122">
        <f>VLOOKUP(O86,References!$B$7:$F$252,5,FALSE)</f>
        <v>36</v>
      </c>
    </row>
    <row r="87" spans="1:18" ht="16" x14ac:dyDescent="0.2">
      <c r="A87" s="904" t="s">
        <v>134</v>
      </c>
      <c r="B87" s="897" t="s">
        <v>135</v>
      </c>
      <c r="C87" s="905" t="s">
        <v>136</v>
      </c>
      <c r="D87" s="547">
        <v>0.03</v>
      </c>
      <c r="E87" s="543" t="s">
        <v>599</v>
      </c>
      <c r="F87" s="544" t="s">
        <v>522</v>
      </c>
      <c r="G87" s="531">
        <f>IF(ISBLANK(D87),"",IF(E87="log",K87*R_Pa*(M87+273.15)*0.001,IF(E87="dimensionless",K87*R_Pa*(M87+273.15)*0.001,IF(E87="Pa-m3/mol",D87,IF(E87="log Pa-m3/mol",10^D87,IF(E87="mol/dm3-atm",I87*101325,IF(E87="atm-m3/mol",I87*101325,0)))))))</f>
        <v>2656.250314073432</v>
      </c>
      <c r="H87" s="531">
        <f>IF(ISBLANK(D87),"",1/G87)</f>
        <v>3.7647054372163928E-4</v>
      </c>
      <c r="I87" s="531">
        <f>IF(ISBLANK(D87),"",IF(E87="log",K87*R_atm*(M87+273.15)*0.001,IF(E87="dimensionless",K87*R_atm*(M87+273.15)*0.001,IF(E87="Pa-m3/mol",D87/101325,IF(E87="log Pa-m3/mol",(10^D87)/101325,IF(E87="mol/dm3-atm",1/(D87*1000),IF(E87="atm-m3/mol",D87,0)))))))</f>
        <v>2.6215152371807961E-2</v>
      </c>
      <c r="J87" s="531">
        <f>IF(ISBLANK(D87),"",1/I87)</f>
        <v>38.145877842594956</v>
      </c>
      <c r="K87" s="531">
        <f>IF(ISBLANK(D87),"",IF(E87="log",10^D87,IF(E87="dimensionless",D87,I87/(R_atm*(M87+273.15)*0.001))))</f>
        <v>1.0715193052376064</v>
      </c>
      <c r="L87" s="531">
        <f>IF(ISBLANK(D87),"",IF(E87="log",D87,IF(E87="dimensionless",LOG(D87),LOG(K87))))</f>
        <v>0.03</v>
      </c>
      <c r="M87" s="546">
        <v>25</v>
      </c>
      <c r="N87" s="542"/>
      <c r="O87" s="542" t="s">
        <v>523</v>
      </c>
      <c r="P87" s="100">
        <f>VLOOKUP(O87,References!$B$7:$F$252,5,FALSE)</f>
        <v>127</v>
      </c>
    </row>
    <row r="88" spans="1:18" x14ac:dyDescent="0.2">
      <c r="A88" s="904"/>
      <c r="B88" s="897"/>
      <c r="C88" s="905"/>
      <c r="D88" s="331">
        <v>-0.6</v>
      </c>
      <c r="E88" s="547" t="s">
        <v>599</v>
      </c>
      <c r="F88" s="544" t="s">
        <v>601</v>
      </c>
      <c r="G88" s="531">
        <f t="shared" si="23"/>
        <v>622.68585269535322</v>
      </c>
      <c r="H88" s="531">
        <f t="shared" si="32"/>
        <v>1.6059462338375084E-3</v>
      </c>
      <c r="I88" s="531">
        <f t="shared" si="24"/>
        <v>6.1454315587994622E-3</v>
      </c>
      <c r="J88" s="531">
        <f t="shared" si="33"/>
        <v>162.72250214358493</v>
      </c>
      <c r="K88" s="531">
        <f t="shared" si="25"/>
        <v>0.25118864315095801</v>
      </c>
      <c r="L88" s="531">
        <f t="shared" si="34"/>
        <v>-0.6</v>
      </c>
      <c r="M88" s="547">
        <v>25</v>
      </c>
      <c r="N88" s="542"/>
      <c r="O88" s="542" t="s">
        <v>607</v>
      </c>
      <c r="P88" s="100">
        <f>VLOOKUP(O88,References!$B$7:$F$252,5,FALSE)</f>
        <v>98</v>
      </c>
    </row>
    <row r="89" spans="1:18" x14ac:dyDescent="0.2">
      <c r="A89" s="904"/>
      <c r="B89" s="897"/>
      <c r="C89" s="905"/>
      <c r="D89" s="547">
        <v>5.87</v>
      </c>
      <c r="E89" s="547" t="s">
        <v>599</v>
      </c>
      <c r="F89" s="544" t="s">
        <v>601</v>
      </c>
      <c r="G89" s="531">
        <f>IF(ISBLANK(D89),"",IF(E89="log",K89*R_Pa*(M89+273.15)*0.001,IF(E89="dimensionless",K89*R_Pa*(M89+273.15)*0.001,IF(E89="Pa-m3/mol",D89,IF(E89="log Pa-m3/mol",10^D89,IF(E89="mol/dm3-atm",I89*101325,IF(E89="atm-m3/mol",I89*101325,0)))))))</f>
        <v>1837676233.7891538</v>
      </c>
      <c r="H89" s="531">
        <f>IF(ISBLANK(D89),"",1/G89)</f>
        <v>5.4416549640960053E-10</v>
      </c>
      <c r="I89" s="531">
        <f>IF(ISBLANK(D89),"",IF(E89="log",K89*R_atm*(M89+273.15)*0.001,IF(E89="dimensionless",K89*R_atm*(M89+273.15)*0.001,IF(E89="Pa-m3/mol",D89/101325,IF(E89="log Pa-m3/mol",(10^D89)/101325,IF(E89="mol/dm3-atm",1/(D89*1000),IF(E89="atm-m3/mol",D89,0)))))))</f>
        <v>18136.45431817578</v>
      </c>
      <c r="J89" s="531">
        <f>IF(ISBLANK(D89),"",1/I89)</f>
        <v>5.5137568923702559E-5</v>
      </c>
      <c r="K89" s="531">
        <f>IF(ISBLANK(D89),"",IF(E89="log",10^D89,IF(E89="dimensionless",D89,I89/(R_atm*(M89+273.15)*0.001))))</f>
        <v>741310.24130091805</v>
      </c>
      <c r="L89" s="531">
        <f>IF(ISBLANK(D89),"",IF(E89="log",D89,IF(E89="dimensionless",LOG(D89),LOG(K89))))</f>
        <v>5.87</v>
      </c>
      <c r="M89" s="547">
        <v>25</v>
      </c>
      <c r="N89" s="542"/>
      <c r="O89" s="542" t="s">
        <v>525</v>
      </c>
      <c r="P89" s="100">
        <f>VLOOKUP(O89,References!$B$7:$F$252,5,FALSE)</f>
        <v>61</v>
      </c>
    </row>
    <row r="90" spans="1:18" ht="17" thickBot="1" x14ac:dyDescent="0.25">
      <c r="A90" s="909"/>
      <c r="B90" s="910"/>
      <c r="C90" s="911"/>
      <c r="D90" s="562">
        <v>3.5500000000000001E-10</v>
      </c>
      <c r="E90" s="563" t="s">
        <v>594</v>
      </c>
      <c r="F90" s="564" t="s">
        <v>515</v>
      </c>
      <c r="G90" s="536">
        <f t="shared" si="23"/>
        <v>3.5970375000000002E-5</v>
      </c>
      <c r="H90" s="536">
        <f t="shared" si="32"/>
        <v>27800.655400451065</v>
      </c>
      <c r="I90" s="536">
        <f t="shared" si="24"/>
        <v>3.5500000000000001E-10</v>
      </c>
      <c r="J90" s="536">
        <f t="shared" si="33"/>
        <v>2816901408.4507041</v>
      </c>
      <c r="K90" s="536">
        <f t="shared" si="25"/>
        <v>1.4510285805869466E-8</v>
      </c>
      <c r="L90" s="536">
        <f t="shared" si="34"/>
        <v>-7.838324033276284</v>
      </c>
      <c r="M90" s="563">
        <v>25</v>
      </c>
      <c r="N90" s="565"/>
      <c r="O90" s="565" t="s">
        <v>511</v>
      </c>
      <c r="P90" s="101">
        <f>VLOOKUP(O90,References!$B$7:$F$252,5,FALSE)</f>
        <v>36</v>
      </c>
    </row>
    <row r="91" spans="1:18" ht="17" thickBot="1" x14ac:dyDescent="0.25">
      <c r="A91" s="74" t="s">
        <v>141</v>
      </c>
      <c r="B91" s="162" t="s">
        <v>142</v>
      </c>
      <c r="C91" s="75"/>
      <c r="D91" s="75"/>
      <c r="E91" s="75"/>
      <c r="F91" s="75"/>
      <c r="G91" s="537"/>
      <c r="H91" s="537"/>
      <c r="I91" s="537"/>
      <c r="J91" s="537"/>
      <c r="K91" s="537"/>
      <c r="L91" s="107"/>
      <c r="M91" s="75"/>
      <c r="N91" s="75"/>
      <c r="O91" s="75"/>
      <c r="P91" s="98"/>
    </row>
    <row r="92" spans="1:18" customFormat="1" ht="16" x14ac:dyDescent="0.2">
      <c r="A92" s="595" t="s">
        <v>143</v>
      </c>
      <c r="B92" s="296" t="s">
        <v>144</v>
      </c>
      <c r="C92" s="296" t="s">
        <v>145</v>
      </c>
      <c r="D92" s="683">
        <v>1.95E-6</v>
      </c>
      <c r="E92" s="296" t="s">
        <v>594</v>
      </c>
      <c r="F92" s="296" t="s">
        <v>515</v>
      </c>
      <c r="G92" s="596">
        <f>IF(ISBLANK(D92),"",IF(E92="log",K92*R_Pa*(M92+273.15)*0.001,IF(E92="dimensionless",K92*R_Pa*(M92+273.15)*0.001,IF(E92="Pa-m3/mol",D92,IF(E92="log Pa-m3/mol",10^D92,IF(E92="mol/dm3-atm",I92*101325,IF(E92="atm-m3/mol",I92*101325,0)))))))</f>
        <v>0.19758375</v>
      </c>
      <c r="H92" s="596">
        <f>IF(ISBLANK(D92),"",1/G92)</f>
        <v>5.0611449575180147</v>
      </c>
      <c r="I92" s="596">
        <f>IF(ISBLANK(D92),"",IF(E92="log",K92*R_atm*(M92+273.15)*0.001,IF(E92="dimensionless",K92*R_atm*(M92+273.15)*0.001,IF(E92="Pa-m3/mol",D92/101325,IF(E92="log Pa-m3/mol",(10^D92)/101325,IF(E92="mol/dm3-atm",1/(D92*1000),IF(E92="atm-m3/mol",D92,0)))))))</f>
        <v>1.95E-6</v>
      </c>
      <c r="J92" s="596">
        <f>IF(ISBLANK(D92),"",1/I92)</f>
        <v>512820.51282051281</v>
      </c>
      <c r="K92" s="596">
        <f>IF(ISBLANK(D92),"",IF(E92="log",10^D92,IF(E92="dimensionless",D92,I92/(R_atm*(M92+273.15)*0.001))))</f>
        <v>7.9704386820973115E-5</v>
      </c>
      <c r="L92" s="596">
        <f>IF(ISBLANK(D92),"",IF(E92="log",D92,IF(E92="dimensionless",LOG(D92),LOG(K92))))</f>
        <v>-4.0985177749688599</v>
      </c>
      <c r="M92" s="172">
        <v>25</v>
      </c>
      <c r="N92" s="423"/>
      <c r="O92" s="684" t="s">
        <v>511</v>
      </c>
      <c r="P92" s="173">
        <f>VLOOKUP(O92,References!$B$7:$F$252,5,FALSE)</f>
        <v>36</v>
      </c>
      <c r="Q92" s="194"/>
      <c r="R92" s="194"/>
    </row>
    <row r="93" spans="1:18" customFormat="1" ht="16" x14ac:dyDescent="0.2">
      <c r="A93" s="143" t="s">
        <v>151</v>
      </c>
      <c r="B93" s="131" t="s">
        <v>152</v>
      </c>
      <c r="C93" s="131" t="s">
        <v>153</v>
      </c>
      <c r="D93" s="328">
        <v>2.8200000000000001E-5</v>
      </c>
      <c r="E93" s="131" t="s">
        <v>594</v>
      </c>
      <c r="F93" s="131" t="s">
        <v>515</v>
      </c>
      <c r="G93" s="469">
        <f>IF(ISBLANK(D93),"",IF(E93="log",K93*R_Pa*(M93+273.15)*0.001,IF(E93="dimensionless",K93*R_Pa*(M93+273.15)*0.001,IF(E93="Pa-m3/mol",D93,IF(E93="log Pa-m3/mol",10^D93,IF(E93="mol/dm3-atm",I93*101325,IF(E93="atm-m3/mol",I93*101325,0)))))))</f>
        <v>2.8573650000000002</v>
      </c>
      <c r="H93" s="469">
        <f>IF(ISBLANK(D93),"",1/G93)</f>
        <v>0.34997278961560735</v>
      </c>
      <c r="I93" s="469">
        <f>IF(ISBLANK(D93),"",IF(E93="log",K93*R_atm*(M93+273.15)*0.001,IF(E93="dimensionless",K93*R_atm*(M93+273.15)*0.001,IF(E93="Pa-m3/mol",D93/101325,IF(E93="log Pa-m3/mol",(10^D93)/101325,IF(E93="mol/dm3-atm",1/(D93*1000),IF(E93="atm-m3/mol",D93,0)))))))</f>
        <v>2.8200000000000001E-5</v>
      </c>
      <c r="J93" s="469">
        <f>IF(ISBLANK(D93),"",1/I93)</f>
        <v>35460.992907801417</v>
      </c>
      <c r="K93" s="469">
        <f>IF(ISBLANK(D93),"",IF(E93="log",10^D93,IF(E93="dimensionless",D93,I93/(R_atm*(M93+273.15)*0.001))))</f>
        <v>1.1487949783274532E-3</v>
      </c>
      <c r="L93" s="469">
        <f>IF(ISBLANK(D93),"",IF(E93="log",D93,IF(E93="dimensionless",LOG(D93),LOG(K93))))</f>
        <v>-2.9397574715083241</v>
      </c>
      <c r="M93" s="589">
        <v>26</v>
      </c>
      <c r="N93" s="337"/>
      <c r="O93" s="678" t="s">
        <v>511</v>
      </c>
      <c r="P93" s="122">
        <f>VLOOKUP(O93,References!$B$7:$F$252,5,FALSE)</f>
        <v>36</v>
      </c>
      <c r="Q93" s="194"/>
      <c r="R93" s="194"/>
    </row>
    <row r="94" spans="1:18" customFormat="1" ht="16" x14ac:dyDescent="0.2">
      <c r="A94" s="143" t="s">
        <v>157</v>
      </c>
      <c r="B94" s="131" t="s">
        <v>158</v>
      </c>
      <c r="C94" s="131" t="s">
        <v>159</v>
      </c>
      <c r="D94" s="328">
        <v>3.1600000000000002E-5</v>
      </c>
      <c r="E94" s="131" t="s">
        <v>594</v>
      </c>
      <c r="F94" s="131" t="s">
        <v>515</v>
      </c>
      <c r="G94" s="469">
        <f>IF(ISBLANK(D94),"",IF(E94="log",K94*R_Pa*(M94+273.15)*0.001,IF(E94="dimensionless",K94*R_Pa*(M94+273.15)*0.001,IF(E94="Pa-m3/mol",D94,IF(E94="log Pa-m3/mol",10^D94,IF(E94="mol/dm3-atm",I94*101325,IF(E94="atm-m3/mol",I94*101325,0)))))))</f>
        <v>3.2018700000000004</v>
      </c>
      <c r="H94" s="469">
        <f>IF(ISBLANK(D94),"",1/G94)</f>
        <v>0.31231748946709265</v>
      </c>
      <c r="I94" s="469">
        <f>IF(ISBLANK(D94),"",IF(E94="log",K94*R_atm*(M94+273.15)*0.001,IF(E94="dimensionless",K94*R_atm*(M94+273.15)*0.001,IF(E94="Pa-m3/mol",D94/101325,IF(E94="log Pa-m3/mol",(10^D94)/101325,IF(E94="mol/dm3-atm",1/(D94*1000),IF(E94="atm-m3/mol",D94,0)))))))</f>
        <v>3.1600000000000002E-5</v>
      </c>
      <c r="J94" s="469">
        <f>IF(ISBLANK(D94),"",1/I94)</f>
        <v>31645.569620253162</v>
      </c>
      <c r="K94" s="469">
        <f>IF(ISBLANK(D94),"",IF(E94="log",10^D94,IF(E94="dimensionless",D94,I94/(R_atm*(M94+273.15)*0.001))))</f>
        <v>1.2873021742960116E-3</v>
      </c>
      <c r="L94" s="469">
        <f>IF(ISBLANK(D94),"",IF(E94="log",D94,IF(E94="dimensionless",LOG(D94),LOG(K94))))</f>
        <v>-2.8903194972092812</v>
      </c>
      <c r="M94" s="589">
        <v>26</v>
      </c>
      <c r="N94" s="337"/>
      <c r="O94" s="678" t="s">
        <v>511</v>
      </c>
      <c r="P94" s="122">
        <f>VLOOKUP(O94,References!$B$7:$F$252,5,FALSE)</f>
        <v>36</v>
      </c>
      <c r="Q94" s="194"/>
      <c r="R94" s="194"/>
    </row>
    <row r="95" spans="1:18" x14ac:dyDescent="0.2">
      <c r="A95" s="904" t="s">
        <v>163</v>
      </c>
      <c r="B95" s="897" t="s">
        <v>164</v>
      </c>
      <c r="C95" s="905" t="s">
        <v>165</v>
      </c>
      <c r="D95" s="331">
        <v>-3.7</v>
      </c>
      <c r="E95" s="331" t="s">
        <v>599</v>
      </c>
      <c r="F95" s="432" t="s">
        <v>601</v>
      </c>
      <c r="G95" s="433">
        <f t="shared" ref="G95:G103" si="35">IF(ISBLANK(D95),"",IF(E95="log",K95*R_Pa*(M95+273.15)*0.001,IF(E95="dimensionless",K95*R_Pa*(M95+273.15)*0.001,IF(E95="Pa-m3/mol",D95,IF(E95="log Pa-m3/mol",10^D95,IF(E95="mol/dm3-atm",I95*101325,IF(E95="atm-m3/mol",I95*101325,0)))))))</f>
        <v>0.49461695415928297</v>
      </c>
      <c r="H95" s="433">
        <f t="shared" ref="H95:H120" si="36">IF(ISBLANK(D95),"",1/G95)</f>
        <v>2.0217665237531808</v>
      </c>
      <c r="I95" s="433">
        <f t="shared" ref="I95:I103" si="37">IF(ISBLANK(D95),"",IF(E95="log",K95*R_atm*(M95+273.15)*0.001,IF(E95="dimensionless",K95*R_atm*(M95+273.15)*0.001,IF(E95="Pa-m3/mol",D95/101325,IF(E95="log Pa-m3/mol",(10^D95)/101325,IF(E95="mol/dm3-atm",1/(D95*1000),IF(E95="atm-m3/mol",D95,0)))))))</f>
        <v>4.8814898017200571E-6</v>
      </c>
      <c r="J95" s="433">
        <f t="shared" ref="J95:J120" si="38">IF(ISBLANK(D95),"",1/I95)</f>
        <v>204855.4930192903</v>
      </c>
      <c r="K95" s="433">
        <f t="shared" ref="K95:K103" si="39">IF(ISBLANK(D95),"",IF(E95="log",10^D95,IF(E95="dimensionless",D95,I95/(R_atm*(M95+273.15)*0.001))))</f>
        <v>1.9952623149688758E-4</v>
      </c>
      <c r="L95" s="433">
        <f t="shared" ref="L95:L120" si="40">IF(ISBLANK(D95),"",IF(E95="log",D95,IF(E95="dimensionless",LOG(D95),LOG(K95))))</f>
        <v>-3.7</v>
      </c>
      <c r="M95" s="331">
        <v>25</v>
      </c>
      <c r="N95" s="434"/>
      <c r="O95" s="434" t="s">
        <v>607</v>
      </c>
      <c r="P95" s="100">
        <f>VLOOKUP(O95,References!$B$7:$F$252,5,FALSE)</f>
        <v>98</v>
      </c>
    </row>
    <row r="96" spans="1:18" ht="16" x14ac:dyDescent="0.2">
      <c r="A96" s="904"/>
      <c r="B96" s="897"/>
      <c r="C96" s="905"/>
      <c r="D96" s="331">
        <v>-2.59</v>
      </c>
      <c r="E96" s="348" t="s">
        <v>599</v>
      </c>
      <c r="F96" s="432" t="s">
        <v>522</v>
      </c>
      <c r="G96" s="433">
        <f>IF(ISBLANK(D96),"",IF(E96="log",K96*R_Pa*(M96+273.15)*0.001,IF(E96="dimensionless",K96*R_Pa*(M96+273.15)*0.001,IF(E96="Pa-m3/mol",D96,IF(E96="log Pa-m3/mol",10^D96,IF(E96="mol/dm3-atm",I96*101325,IF(E96="atm-m3/mol",I96*101325,0)))))))</f>
        <v>6.3719006945552081</v>
      </c>
      <c r="H96" s="433">
        <f>IF(ISBLANK(D96),"",1/G96)</f>
        <v>0.15693904345598172</v>
      </c>
      <c r="I96" s="433">
        <f>IF(ISBLANK(D96),"",IF(E96="log",K96*R_atm*(M96+273.15)*0.001,IF(E96="dimensionless",K96*R_atm*(M96+273.15)*0.001,IF(E96="Pa-m3/mol",D96/101325,IF(E96="log Pa-m3/mol",(10^D96)/101325,IF(E96="mol/dm3-atm",1/(D96*1000),IF(E96="atm-m3/mol",D96,0)))))))</f>
        <v>6.2885770486604807E-5</v>
      </c>
      <c r="J96" s="433">
        <f>IF(ISBLANK(D96),"",1/I96)</f>
        <v>15901.848578177289</v>
      </c>
      <c r="K96" s="433">
        <f>IF(ISBLANK(D96),"",IF(E96="log",10^D96,IF(E96="dimensionless",D96,I96/(R_atm*(M96+273.15)*0.001))))</f>
        <v>2.5703957827688637E-3</v>
      </c>
      <c r="L96" s="433">
        <f>IF(ISBLANK(D96),"",IF(E96="log",D96,IF(E96="dimensionless",LOG(D96),LOG(K96))))</f>
        <v>-2.59</v>
      </c>
      <c r="M96" s="685">
        <v>25</v>
      </c>
      <c r="N96" s="434"/>
      <c r="O96" s="434" t="s">
        <v>523</v>
      </c>
      <c r="P96" s="100">
        <f>VLOOKUP(O96,References!$B$7:$F$252,5,FALSE)</f>
        <v>127</v>
      </c>
    </row>
    <row r="97" spans="1:16" x14ac:dyDescent="0.2">
      <c r="A97" s="904"/>
      <c r="B97" s="897"/>
      <c r="C97" s="905"/>
      <c r="D97" s="331">
        <v>1.02</v>
      </c>
      <c r="E97" s="331" t="s">
        <v>599</v>
      </c>
      <c r="F97" s="432" t="s">
        <v>601</v>
      </c>
      <c r="G97" s="433">
        <f>IF(ISBLANK(D97),"",IF(E97="log",K97*R_Pa*(M97+273.15)*0.001,IF(E97="dimensionless",K97*R_Pa*(M97+273.15)*0.001,IF(E97="Pa-m3/mol",D97,IF(E97="log Pa-m3/mol",10^D97,IF(E97="mol/dm3-atm",I97*101325,IF(E97="atm-m3/mol",I97*101325,0)))))))</f>
        <v>25957.86675088121</v>
      </c>
      <c r="H97" s="433">
        <f>IF(ISBLANK(D97),"",1/G97)</f>
        <v>3.8523966919047857E-5</v>
      </c>
      <c r="I97" s="433">
        <f>IF(ISBLANK(D97),"",IF(E97="log",K97*R_atm*(M97+273.15)*0.001,IF(E97="dimensionless",K97*R_atm*(M97+273.15)*0.001,IF(E97="Pa-m3/mol",D97/101325,IF(E97="log Pa-m3/mol",(10^D97)/101325,IF(E97="mol/dm3-atm",1/(D97*1000),IF(E97="atm-m3/mol",D97,0)))))))</f>
        <v>0.25618422650758754</v>
      </c>
      <c r="J97" s="433">
        <f>IF(ISBLANK(D97),"",1/I97)</f>
        <v>3.9034409480725092</v>
      </c>
      <c r="K97" s="433">
        <f>IF(ISBLANK(D97),"",IF(E97="log",10^D97,IF(E97="dimensionless",D97,I97/(R_atm*(M97+273.15)*0.001))))</f>
        <v>10.471285480509</v>
      </c>
      <c r="L97" s="433">
        <f>IF(ISBLANK(D97),"",IF(E97="log",D97,IF(E97="dimensionless",LOG(D97),LOG(K97))))</f>
        <v>1.02</v>
      </c>
      <c r="M97" s="331">
        <v>25</v>
      </c>
      <c r="N97" s="434"/>
      <c r="O97" s="434" t="s">
        <v>525</v>
      </c>
      <c r="P97" s="100">
        <f>VLOOKUP(O97,References!$B$7:$F$252,5,FALSE)</f>
        <v>61</v>
      </c>
    </row>
    <row r="98" spans="1:16" ht="16" x14ac:dyDescent="0.2">
      <c r="A98" s="904"/>
      <c r="B98" s="897"/>
      <c r="C98" s="905"/>
      <c r="D98" s="589">
        <v>2.9500000000000002E-10</v>
      </c>
      <c r="E98" s="588" t="s">
        <v>594</v>
      </c>
      <c r="F98" s="686" t="s">
        <v>515</v>
      </c>
      <c r="G98" s="469">
        <f t="shared" si="35"/>
        <v>2.9890875E-5</v>
      </c>
      <c r="H98" s="469">
        <f t="shared" si="36"/>
        <v>33455.025990373317</v>
      </c>
      <c r="I98" s="469">
        <f t="shared" si="37"/>
        <v>2.9500000000000002E-10</v>
      </c>
      <c r="J98" s="469">
        <f t="shared" si="38"/>
        <v>3389830508.474576</v>
      </c>
      <c r="K98" s="469">
        <f t="shared" si="39"/>
        <v>1.2057843134454909E-8</v>
      </c>
      <c r="L98" s="469">
        <f t="shared" si="40"/>
        <v>-7.9187303703532148</v>
      </c>
      <c r="M98" s="588">
        <v>25</v>
      </c>
      <c r="N98" s="678"/>
      <c r="O98" s="678" t="s">
        <v>511</v>
      </c>
      <c r="P98" s="122">
        <f>VLOOKUP(O98,References!$B$7:$F$252,5,FALSE)</f>
        <v>36</v>
      </c>
    </row>
    <row r="99" spans="1:16" ht="16" x14ac:dyDescent="0.2">
      <c r="A99" s="123" t="s">
        <v>170</v>
      </c>
      <c r="B99" s="163" t="s">
        <v>171</v>
      </c>
      <c r="C99" s="119" t="s">
        <v>172</v>
      </c>
      <c r="D99" s="554">
        <v>2.16E-10</v>
      </c>
      <c r="E99" s="553" t="s">
        <v>594</v>
      </c>
      <c r="F99" s="554" t="s">
        <v>515</v>
      </c>
      <c r="G99" s="533">
        <f t="shared" si="35"/>
        <v>2.1886200000000001E-5</v>
      </c>
      <c r="H99" s="533">
        <f t="shared" si="36"/>
        <v>45690.891977593186</v>
      </c>
      <c r="I99" s="533">
        <f t="shared" si="37"/>
        <v>2.16E-10</v>
      </c>
      <c r="J99" s="533">
        <f t="shared" si="38"/>
        <v>4629629629.6296291</v>
      </c>
      <c r="K99" s="533">
        <f t="shared" si="39"/>
        <v>8.8287936170924064E-9</v>
      </c>
      <c r="L99" s="533">
        <f t="shared" si="40"/>
        <v>-8.0540986351804467</v>
      </c>
      <c r="M99" s="553">
        <v>25</v>
      </c>
      <c r="N99" s="555"/>
      <c r="O99" s="555" t="s">
        <v>511</v>
      </c>
      <c r="P99" s="122">
        <f>VLOOKUP(O99,References!$B$7:$F$252,5,FALSE)</f>
        <v>36</v>
      </c>
    </row>
    <row r="100" spans="1:16" ht="16" x14ac:dyDescent="0.2">
      <c r="A100" s="904" t="s">
        <v>176</v>
      </c>
      <c r="B100" s="897" t="s">
        <v>177</v>
      </c>
      <c r="C100" s="905" t="s">
        <v>178</v>
      </c>
      <c r="D100" s="547">
        <v>-2.38</v>
      </c>
      <c r="E100" s="543" t="s">
        <v>599</v>
      </c>
      <c r="F100" s="544" t="s">
        <v>522</v>
      </c>
      <c r="G100" s="531">
        <f>IF(ISBLANK(D100),"",IF(E100="log",K100*R_Pa*(M100+273.15)*0.001,IF(E100="dimensionless",K100*R_Pa*(M100+273.15)*0.001,IF(E100="Pa-m3/mol",D100,IF(E100="log Pa-m3/mol",10^D100,IF(E100="mol/dm3-atm",I100*101325,IF(E100="atm-m3/mol",I100*101325,0)))))))</f>
        <v>10.334012885798012</v>
      </c>
      <c r="H100" s="531">
        <f>IF(ISBLANK(D100),"",1/G100)</f>
        <v>9.6767829791880325E-2</v>
      </c>
      <c r="I100" s="531">
        <f>IF(ISBLANK(D100),"",IF(E100="log",K100*R_atm*(M100+273.15)*0.001,IF(E100="dimensionless",K100*R_atm*(M100+273.15)*0.001,IF(E100="Pa-m3/mol",D100/101325,IF(E100="log Pa-m3/mol",(10^D100)/101325,IF(E100="mol/dm3-atm",1/(D100*1000),IF(E100="atm-m3/mol",D100,0)))))))</f>
        <v>1.0198877755537186E-4</v>
      </c>
      <c r="J100" s="531">
        <f>IF(ISBLANK(D100),"",1/I100)</f>
        <v>9805.0003536622353</v>
      </c>
      <c r="K100" s="531">
        <f>IF(ISBLANK(D100),"",IF(E100="log",10^D100,IF(E100="dimensionless",D100,I100/(R_atm*(M100+273.15)*0.001))))</f>
        <v>4.1686938347033527E-3</v>
      </c>
      <c r="L100" s="531">
        <f>IF(ISBLANK(D100),"",IF(E100="log",D100,IF(E100="dimensionless",LOG(D100),LOG(K100))))</f>
        <v>-2.38</v>
      </c>
      <c r="M100" s="546">
        <v>25</v>
      </c>
      <c r="N100" s="542"/>
      <c r="O100" s="542" t="s">
        <v>523</v>
      </c>
      <c r="P100" s="100">
        <f>VLOOKUP(O100,References!$B$7:$F$252,5,FALSE)</f>
        <v>127</v>
      </c>
    </row>
    <row r="101" spans="1:16" x14ac:dyDescent="0.2">
      <c r="A101" s="904"/>
      <c r="B101" s="897"/>
      <c r="C101" s="905"/>
      <c r="D101" s="331">
        <v>-3.1</v>
      </c>
      <c r="E101" s="547" t="s">
        <v>599</v>
      </c>
      <c r="F101" s="544" t="s">
        <v>601</v>
      </c>
      <c r="G101" s="531">
        <f t="shared" si="35"/>
        <v>1.9691055612814123</v>
      </c>
      <c r="H101" s="531">
        <f t="shared" si="36"/>
        <v>0.50784478986959003</v>
      </c>
      <c r="I101" s="531">
        <f t="shared" si="37"/>
        <v>1.943356093048527E-5</v>
      </c>
      <c r="J101" s="531">
        <f t="shared" si="38"/>
        <v>51457.373333536016</v>
      </c>
      <c r="K101" s="531">
        <f t="shared" si="39"/>
        <v>7.9432823472428099E-4</v>
      </c>
      <c r="L101" s="531">
        <f t="shared" si="40"/>
        <v>-3.1</v>
      </c>
      <c r="M101" s="547">
        <v>25</v>
      </c>
      <c r="N101" s="542"/>
      <c r="O101" s="542" t="s">
        <v>607</v>
      </c>
      <c r="P101" s="100">
        <f>VLOOKUP(O101,References!$B$7:$F$252,5,FALSE)</f>
        <v>98</v>
      </c>
    </row>
    <row r="102" spans="1:16" x14ac:dyDescent="0.2">
      <c r="A102" s="904"/>
      <c r="B102" s="897"/>
      <c r="C102" s="905"/>
      <c r="D102" s="547">
        <v>2.15</v>
      </c>
      <c r="E102" s="547" t="s">
        <v>599</v>
      </c>
      <c r="F102" s="544" t="s">
        <v>601</v>
      </c>
      <c r="G102" s="531">
        <f>IF(ISBLANK(D102),"",IF(E102="log",K102*R_Pa*(M102+273.15)*0.001,IF(E102="dimensionless",K102*R_Pa*(M102+273.15)*0.001,IF(E102="Pa-m3/mol",D102,IF(E102="log Pa-m3/mol",10^D102,IF(E102="mol/dm3-atm",I102*101325,IF(E102="atm-m3/mol",I102*101325,0)))))))</f>
        <v>350161.98758198746</v>
      </c>
      <c r="H102" s="531">
        <f>IF(ISBLANK(D102),"",1/G102)</f>
        <v>2.8558211212627942E-6</v>
      </c>
      <c r="I102" s="531">
        <f>IF(ISBLANK(D102),"",IF(E102="log",K102*R_atm*(M102+273.15)*0.001,IF(E102="dimensionless",K102*R_atm*(M102+273.15)*0.001,IF(E102="Pa-m3/mol",D102/101325,IF(E102="log Pa-m3/mol",(10^D102)/101325,IF(E102="mol/dm3-atm",1/(D102*1000),IF(E102="atm-m3/mol",D102,0)))))))</f>
        <v>3.4558301266418825</v>
      </c>
      <c r="J102" s="531">
        <f>IF(ISBLANK(D102),"",1/I102)</f>
        <v>0.28936607511195156</v>
      </c>
      <c r="K102" s="531">
        <f>IF(ISBLANK(D102),"",IF(E102="log",10^D102,IF(E102="dimensionless",D102,I102/(R_atm*(M102+273.15)*0.001))))</f>
        <v>141.25375446227542</v>
      </c>
      <c r="L102" s="531">
        <f>IF(ISBLANK(D102),"",IF(E102="log",D102,IF(E102="dimensionless",LOG(D102),LOG(K102))))</f>
        <v>2.15</v>
      </c>
      <c r="M102" s="547">
        <v>25</v>
      </c>
      <c r="N102" s="542"/>
      <c r="O102" s="542" t="s">
        <v>525</v>
      </c>
      <c r="P102" s="100">
        <f>VLOOKUP(O102,References!$B$7:$F$252,5,FALSE)</f>
        <v>61</v>
      </c>
    </row>
    <row r="103" spans="1:16" ht="16" x14ac:dyDescent="0.2">
      <c r="A103" s="904"/>
      <c r="B103" s="897"/>
      <c r="C103" s="905"/>
      <c r="D103" s="547">
        <v>1.94E-10</v>
      </c>
      <c r="E103" s="543" t="s">
        <v>594</v>
      </c>
      <c r="F103" s="544" t="s">
        <v>515</v>
      </c>
      <c r="G103" s="533">
        <f t="shared" si="35"/>
        <v>1.9657050000000002E-5</v>
      </c>
      <c r="H103" s="533">
        <f t="shared" si="36"/>
        <v>50872.333335876945</v>
      </c>
      <c r="I103" s="533">
        <f t="shared" si="37"/>
        <v>1.94E-10</v>
      </c>
      <c r="J103" s="533">
        <f t="shared" si="38"/>
        <v>5154639175.2577314</v>
      </c>
      <c r="K103" s="533">
        <f t="shared" si="39"/>
        <v>7.9295646375737354E-9</v>
      </c>
      <c r="L103" s="531">
        <f t="shared" si="40"/>
        <v>-8.1007506564011518</v>
      </c>
      <c r="M103" s="543">
        <v>25</v>
      </c>
      <c r="N103" s="542"/>
      <c r="O103" s="542" t="s">
        <v>511</v>
      </c>
      <c r="P103" s="100">
        <f>VLOOKUP(O103,References!$B$7:$F$252,5,FALSE)</f>
        <v>36</v>
      </c>
    </row>
    <row r="104" spans="1:16" ht="16" x14ac:dyDescent="0.2">
      <c r="A104" s="123" t="s">
        <v>182</v>
      </c>
      <c r="B104" s="163" t="s">
        <v>183</v>
      </c>
      <c r="C104" s="119" t="s">
        <v>184</v>
      </c>
      <c r="D104" s="566">
        <v>1.79E-10</v>
      </c>
      <c r="E104" s="567" t="s">
        <v>594</v>
      </c>
      <c r="F104" s="566" t="s">
        <v>515</v>
      </c>
      <c r="G104" s="533">
        <f t="shared" ref="G104:G117" si="41">IF(ISBLANK(D104),"",IF(E104="log",K104*R_Pa*(M104+273.15)*0.001,IF(E104="dimensionless",K104*R_Pa*(M104+273.15)*0.001,IF(E104="Pa-m3/mol",D104,IF(E104="log Pa-m3/mol",10^D104,IF(E104="mol/dm3-atm",I104*101325,IF(E104="atm-m3/mol",I104*101325,0)))))))</f>
        <v>1.8137175000000001E-5</v>
      </c>
      <c r="H104" s="533">
        <f t="shared" si="36"/>
        <v>55135.37802882753</v>
      </c>
      <c r="I104" s="533">
        <f t="shared" ref="I104:I117" si="42">IF(ISBLANK(D104),"",IF(E104="log",K104*R_atm*(M104+273.15)*0.001,IF(E104="dimensionless",K104*R_atm*(M104+273.15)*0.001,IF(E104="Pa-m3/mol",D104/101325,IF(E104="log Pa-m3/mol",(10^D104)/101325,IF(E104="mol/dm3-atm",1/(D104*1000),IF(E104="atm-m3/mol",D104,0)))))))</f>
        <v>1.79E-10</v>
      </c>
      <c r="J104" s="533">
        <f t="shared" si="38"/>
        <v>5586592178.7709494</v>
      </c>
      <c r="K104" s="533">
        <f t="shared" ref="K104:K117" si="43">IF(ISBLANK(D104),"",IF(E104="log",10^D104,IF(E104="dimensionless",D104,I104/(R_atm*(M104+273.15)*0.001))))</f>
        <v>7.3164539697200966E-9</v>
      </c>
      <c r="L104" s="540">
        <f t="shared" si="40"/>
        <v>-8.135699355351484</v>
      </c>
      <c r="M104" s="567">
        <v>25</v>
      </c>
      <c r="N104" s="568"/>
      <c r="O104" s="568" t="s">
        <v>511</v>
      </c>
      <c r="P104" s="124">
        <f>VLOOKUP(O104,References!$B$7:$F$252,5,FALSE)</f>
        <v>36</v>
      </c>
    </row>
    <row r="105" spans="1:16" x14ac:dyDescent="0.2">
      <c r="A105" s="904" t="s">
        <v>188</v>
      </c>
      <c r="B105" s="897" t="s">
        <v>189</v>
      </c>
      <c r="C105" s="905" t="s">
        <v>190</v>
      </c>
      <c r="D105" s="547">
        <v>-2.4</v>
      </c>
      <c r="E105" s="547" t="s">
        <v>599</v>
      </c>
      <c r="F105" s="544" t="s">
        <v>522</v>
      </c>
      <c r="G105" s="531">
        <f t="shared" si="41"/>
        <v>9.8689056897870877</v>
      </c>
      <c r="H105" s="531">
        <f t="shared" si="36"/>
        <v>0.10132835710800819</v>
      </c>
      <c r="I105" s="531">
        <f t="shared" si="42"/>
        <v>9.7398526422769543E-5</v>
      </c>
      <c r="J105" s="531">
        <f t="shared" si="38"/>
        <v>10267.095783968893</v>
      </c>
      <c r="K105" s="531">
        <f t="shared" si="43"/>
        <v>3.9810717055349717E-3</v>
      </c>
      <c r="L105" s="531">
        <f t="shared" si="40"/>
        <v>-2.4</v>
      </c>
      <c r="M105" s="547">
        <v>25</v>
      </c>
      <c r="N105" s="542"/>
      <c r="O105" s="542" t="s">
        <v>570</v>
      </c>
      <c r="P105" s="100">
        <f>VLOOKUP(O105,References!$B$7:$F$252,5,FALSE)</f>
        <v>9</v>
      </c>
    </row>
    <row r="106" spans="1:16" x14ac:dyDescent="0.2">
      <c r="A106" s="904"/>
      <c r="B106" s="897"/>
      <c r="C106" s="905"/>
      <c r="D106" s="547">
        <v>-1.06</v>
      </c>
      <c r="E106" s="547" t="s">
        <v>599</v>
      </c>
      <c r="F106" s="544" t="s">
        <v>571</v>
      </c>
      <c r="G106" s="531">
        <f t="shared" si="41"/>
        <v>215.9081313849357</v>
      </c>
      <c r="H106" s="531">
        <f t="shared" si="36"/>
        <v>4.6315995307149036E-3</v>
      </c>
      <c r="I106" s="531">
        <f t="shared" si="42"/>
        <v>2.1308475833697162E-3</v>
      </c>
      <c r="J106" s="531">
        <f t="shared" si="38"/>
        <v>469.29682244968592</v>
      </c>
      <c r="K106" s="531">
        <f t="shared" si="43"/>
        <v>8.7096358995608011E-2</v>
      </c>
      <c r="L106" s="531">
        <f t="shared" si="40"/>
        <v>-1.06</v>
      </c>
      <c r="M106" s="547">
        <v>25</v>
      </c>
      <c r="N106" s="542"/>
      <c r="O106" s="542" t="s">
        <v>570</v>
      </c>
      <c r="P106" s="100">
        <f>VLOOKUP(O106,References!$B$7:$F$252,5,FALSE)</f>
        <v>9</v>
      </c>
    </row>
    <row r="107" spans="1:16" ht="16" x14ac:dyDescent="0.2">
      <c r="A107" s="904"/>
      <c r="B107" s="897"/>
      <c r="C107" s="905"/>
      <c r="D107" s="569">
        <v>-1.35</v>
      </c>
      <c r="E107" s="543" t="s">
        <v>599</v>
      </c>
      <c r="F107" s="544" t="s">
        <v>571</v>
      </c>
      <c r="G107" s="531">
        <f>IF(ISBLANK(D107),"",IF(E107="log",K107*R_Pa*(M107+273.15)*0.001,IF(E107="dimensionless",K107*R_Pa*(M107+273.15)*0.001,IF(E107="Pa-m3/mol",D107,IF(E107="log Pa-m3/mol",10^D107,IF(E107="mol/dm3-atm",I107*101325,IF(E107="atm-m3/mol",I107*101325,0)))))))</f>
        <v>110.73094307706756</v>
      </c>
      <c r="H107" s="531">
        <f>IF(ISBLANK(D107),"",1/G107)</f>
        <v>9.0308993332063516E-3</v>
      </c>
      <c r="I107" s="531">
        <f>IF(ISBLANK(D107),"",IF(E107="log",K107*R_atm*(M107+273.15)*0.001,IF(E107="dimensionless",K107*R_atm*(M107+273.15)*0.001,IF(E107="Pa-m3/mol",D107/101325,IF(E107="log Pa-m3/mol",(10^D107)/101325,IF(E107="mol/dm3-atm",1/(D107*1000),IF(E107="atm-m3/mol",D107,0)))))))</f>
        <v>1.0928294406816481E-3</v>
      </c>
      <c r="J107" s="531">
        <f>IF(ISBLANK(D107),"",1/I107)</f>
        <v>915.05587493713006</v>
      </c>
      <c r="K107" s="531">
        <f>IF(ISBLANK(D107),"",IF(E107="log",10^D107,IF(E107="dimensionless",D107,I107/(R_atm*(M107+273.15)*0.001))))</f>
        <v>4.4668359215096293E-2</v>
      </c>
      <c r="L107" s="531">
        <f>IF(ISBLANK(D107),"",IF(E107="log",D107,IF(E107="dimensionless",LOG(D107),LOG(K107))))</f>
        <v>-1.35</v>
      </c>
      <c r="M107" s="546">
        <v>25</v>
      </c>
      <c r="N107" s="542"/>
      <c r="O107" s="542" t="s">
        <v>602</v>
      </c>
      <c r="P107" s="100">
        <f>VLOOKUP(O107,References!$B$7:$F$252,5,FALSE)</f>
        <v>101</v>
      </c>
    </row>
    <row r="108" spans="1:16" ht="16" x14ac:dyDescent="0.2">
      <c r="A108" s="904"/>
      <c r="B108" s="897"/>
      <c r="C108" s="905"/>
      <c r="D108" s="569">
        <v>-0.35</v>
      </c>
      <c r="E108" s="543" t="s">
        <v>599</v>
      </c>
      <c r="F108" s="544" t="s">
        <v>513</v>
      </c>
      <c r="G108" s="531">
        <f>IF(ISBLANK(D108),"",IF(E108="log",K108*R_Pa*(M108+273.15)*0.001,IF(E108="dimensionless",K108*R_Pa*(M108+273.15)*0.001,IF(E108="Pa-m3/mol",D108,IF(E108="log Pa-m3/mol",10^D108,IF(E108="mol/dm3-atm",I108*101325,IF(E108="atm-m3/mol",I108*101325,0)))))))</f>
        <v>1107.3094307706763</v>
      </c>
      <c r="H108" s="531">
        <f>IF(ISBLANK(D108),"",1/G108)</f>
        <v>9.0308993332063468E-4</v>
      </c>
      <c r="I108" s="531">
        <f>IF(ISBLANK(D108),"",IF(E108="log",K108*R_atm*(M108+273.15)*0.001,IF(E108="dimensionless",K108*R_atm*(M108+273.15)*0.001,IF(E108="Pa-m3/mol",D108/101325,IF(E108="log Pa-m3/mol",(10^D108)/101325,IF(E108="mol/dm3-atm",1/(D108*1000),IF(E108="atm-m3/mol",D108,0)))))))</f>
        <v>1.0928294406816487E-2</v>
      </c>
      <c r="J108" s="531">
        <f>IF(ISBLANK(D108),"",1/I108)</f>
        <v>91.505587493712966</v>
      </c>
      <c r="K108" s="531">
        <f>IF(ISBLANK(D108),"",IF(E108="log",10^D108,IF(E108="dimensionless",D108,I108/(R_atm*(M108+273.15)*0.001))))</f>
        <v>0.44668359215096315</v>
      </c>
      <c r="L108" s="531">
        <f>IF(ISBLANK(D108),"",IF(E108="log",D108,IF(E108="dimensionless",LOG(D108),LOG(K108))))</f>
        <v>-0.35</v>
      </c>
      <c r="M108" s="546">
        <v>25</v>
      </c>
      <c r="N108" s="542"/>
      <c r="O108" s="542" t="s">
        <v>602</v>
      </c>
      <c r="P108" s="100">
        <f>VLOOKUP(O108,References!$B$7:$F$252,5,FALSE)</f>
        <v>101</v>
      </c>
    </row>
    <row r="109" spans="1:16" ht="16" x14ac:dyDescent="0.2">
      <c r="A109" s="904"/>
      <c r="B109" s="897"/>
      <c r="C109" s="905"/>
      <c r="D109" s="556">
        <v>1.4999999999999999E-7</v>
      </c>
      <c r="E109" s="543" t="s">
        <v>594</v>
      </c>
      <c r="F109" s="544" t="s">
        <v>571</v>
      </c>
      <c r="G109" s="531">
        <f>IF(ISBLANK(D109),"",IF(E109="log",K109*R_Pa*(M109+273.15)*0.001,IF(E109="dimensionless",K109*R_Pa*(M109+273.15)*0.001,IF(E109="Pa-m3/mol",D109,IF(E109="log Pa-m3/mol",10^D109,IF(E109="mol/dm3-atm",I109*101325,IF(E109="atm-m3/mol",I109*101325,0)))))))</f>
        <v>1.5198749999999999E-2</v>
      </c>
      <c r="H109" s="531">
        <f>IF(ISBLANK(D109),"",1/G109)</f>
        <v>65.794884447734191</v>
      </c>
      <c r="I109" s="531">
        <f>IF(ISBLANK(D109),"",IF(E109="log",K109*R_atm*(M109+273.15)*0.001,IF(E109="dimensionless",K109*R_atm*(M109+273.15)*0.001,IF(E109="Pa-m3/mol",D109/101325,IF(E109="log Pa-m3/mol",(10^D109)/101325,IF(E109="mol/dm3-atm",1/(D109*1000),IF(E109="atm-m3/mol",D109,0)))))))</f>
        <v>1.4999999999999999E-7</v>
      </c>
      <c r="J109" s="531">
        <f>IF(ISBLANK(D109),"",1/I109)</f>
        <v>6666666.666666667</v>
      </c>
      <c r="K109" s="531">
        <f>IF(ISBLANK(D109),"",IF(E109="log",10^D109,IF(E109="dimensionless",D109,I109/(R_atm*(M109+273.15)*0.001))))</f>
        <v>6.1311066785363933E-6</v>
      </c>
      <c r="L109" s="531">
        <f>IF(ISBLANK(D109),"",IF(E109="log",D109,IF(E109="dimensionless",LOG(D109),LOG(K109))))</f>
        <v>-5.2124611272756969</v>
      </c>
      <c r="M109" s="546">
        <v>25</v>
      </c>
      <c r="N109" s="544">
        <v>7</v>
      </c>
      <c r="O109" s="542" t="s">
        <v>608</v>
      </c>
      <c r="P109" s="100">
        <f>VLOOKUP(O109,References!$B$7:$F$252,5,FALSE)</f>
        <v>103</v>
      </c>
    </row>
    <row r="110" spans="1:16" x14ac:dyDescent="0.2">
      <c r="A110" s="904"/>
      <c r="B110" s="897"/>
      <c r="C110" s="905"/>
      <c r="D110" s="569">
        <v>-0.3469169866744955</v>
      </c>
      <c r="E110" s="547" t="s">
        <v>599</v>
      </c>
      <c r="F110" s="544" t="s">
        <v>513</v>
      </c>
      <c r="G110" s="531">
        <f t="shared" si="41"/>
        <v>1115.1980775005054</v>
      </c>
      <c r="H110" s="531">
        <f t="shared" si="36"/>
        <v>8.9670168930106216E-4</v>
      </c>
      <c r="I110" s="531">
        <f t="shared" si="42"/>
        <v>1.10061492968222E-2</v>
      </c>
      <c r="J110" s="531">
        <f t="shared" si="38"/>
        <v>90.858298668429796</v>
      </c>
      <c r="K110" s="531">
        <f t="shared" si="43"/>
        <v>0.44986583639143479</v>
      </c>
      <c r="L110" s="531">
        <f t="shared" si="40"/>
        <v>-0.3469169866744955</v>
      </c>
      <c r="M110" s="543">
        <v>25</v>
      </c>
      <c r="N110" s="542"/>
      <c r="O110" s="542" t="s">
        <v>600</v>
      </c>
      <c r="P110" s="100">
        <f>VLOOKUP(O110,References!$B$7:$F$252,5,FALSE)</f>
        <v>143</v>
      </c>
    </row>
    <row r="111" spans="1:16" x14ac:dyDescent="0.2">
      <c r="A111" s="904"/>
      <c r="B111" s="897"/>
      <c r="C111" s="905"/>
      <c r="D111" s="569">
        <v>-1.3289709122597499</v>
      </c>
      <c r="E111" s="547" t="s">
        <v>599</v>
      </c>
      <c r="F111" s="544" t="s">
        <v>571</v>
      </c>
      <c r="G111" s="531">
        <f t="shared" si="41"/>
        <v>116.22460703855363</v>
      </c>
      <c r="H111" s="531">
        <f t="shared" si="36"/>
        <v>8.6040299509748692E-3</v>
      </c>
      <c r="I111" s="531">
        <f t="shared" si="42"/>
        <v>1.1470476885127468E-3</v>
      </c>
      <c r="J111" s="531">
        <f t="shared" si="38"/>
        <v>871.80333478252533</v>
      </c>
      <c r="K111" s="531">
        <f t="shared" si="43"/>
        <v>4.6884478290934894E-2</v>
      </c>
      <c r="L111" s="531">
        <f t="shared" si="40"/>
        <v>-1.3289709122597499</v>
      </c>
      <c r="M111" s="543">
        <v>25</v>
      </c>
      <c r="N111" s="542"/>
      <c r="O111" s="542" t="s">
        <v>600</v>
      </c>
      <c r="P111" s="100">
        <f>VLOOKUP(O111,References!$B$7:$F$252,5,FALSE)</f>
        <v>143</v>
      </c>
    </row>
    <row r="112" spans="1:16" x14ac:dyDescent="0.2">
      <c r="A112" s="904"/>
      <c r="B112" s="897"/>
      <c r="C112" s="905"/>
      <c r="D112" s="569">
        <v>-2.5954217173079637</v>
      </c>
      <c r="E112" s="547" t="s">
        <v>599</v>
      </c>
      <c r="F112" s="544" t="s">
        <v>522</v>
      </c>
      <c r="G112" s="531">
        <f t="shared" si="41"/>
        <v>6.2928485750694394</v>
      </c>
      <c r="H112" s="531">
        <f t="shared" si="36"/>
        <v>0.15891054552968731</v>
      </c>
      <c r="I112" s="531">
        <f t="shared" si="42"/>
        <v>6.2105586726567602E-5</v>
      </c>
      <c r="J112" s="531">
        <f t="shared" si="38"/>
        <v>16101.611025795508</v>
      </c>
      <c r="K112" s="531">
        <f t="shared" si="43"/>
        <v>2.538506517024532E-3</v>
      </c>
      <c r="L112" s="531">
        <f t="shared" si="40"/>
        <v>-2.5954217173079637</v>
      </c>
      <c r="M112" s="543">
        <v>25</v>
      </c>
      <c r="N112" s="542"/>
      <c r="O112" s="542" t="s">
        <v>600</v>
      </c>
      <c r="P112" s="100">
        <f>VLOOKUP(O112,References!$B$7:$F$252,5,FALSE)</f>
        <v>143</v>
      </c>
    </row>
    <row r="113" spans="1:16" x14ac:dyDescent="0.2">
      <c r="A113" s="904"/>
      <c r="B113" s="897"/>
      <c r="C113" s="905"/>
      <c r="D113" s="569">
        <v>-1.3880500000000007</v>
      </c>
      <c r="E113" s="547" t="s">
        <v>599</v>
      </c>
      <c r="F113" s="544" t="s">
        <v>514</v>
      </c>
      <c r="G113" s="531">
        <f t="shared" si="41"/>
        <v>101.4422792914156</v>
      </c>
      <c r="H113" s="531">
        <f t="shared" si="36"/>
        <v>9.8578226651165508E-3</v>
      </c>
      <c r="I113" s="531">
        <f t="shared" si="42"/>
        <v>1.0011574566140241E-3</v>
      </c>
      <c r="J113" s="531">
        <f t="shared" si="38"/>
        <v>998.84388154293072</v>
      </c>
      <c r="K113" s="531">
        <f t="shared" si="43"/>
        <v>4.0921354456751678E-2</v>
      </c>
      <c r="L113" s="531">
        <f t="shared" si="40"/>
        <v>-1.3880500000000007</v>
      </c>
      <c r="M113" s="543">
        <v>25</v>
      </c>
      <c r="N113" s="542"/>
      <c r="O113" s="542" t="s">
        <v>600</v>
      </c>
      <c r="P113" s="100">
        <f>VLOOKUP(O113,References!$B$7:$F$252,5,FALSE)</f>
        <v>143</v>
      </c>
    </row>
    <row r="114" spans="1:16" ht="16" x14ac:dyDescent="0.2">
      <c r="A114" s="904"/>
      <c r="B114" s="897"/>
      <c r="C114" s="905"/>
      <c r="D114" s="547">
        <v>-1.65</v>
      </c>
      <c r="E114" s="543" t="s">
        <v>599</v>
      </c>
      <c r="F114" s="544" t="s">
        <v>522</v>
      </c>
      <c r="G114" s="531">
        <f>IF(ISBLANK(D114),"",IF(E114="log",K114*R_Pa*(M114+273.15)*0.001,IF(E114="dimensionless",K114*R_Pa*(M114+273.15)*0.001,IF(E114="Pa-m3/mol",D114,IF(E114="log Pa-m3/mol",10^D114,IF(E114="mol/dm3-atm",I114*101325,IF(E114="atm-m3/mol",I114*101325,0)))))))</f>
        <v>55.496935037734467</v>
      </c>
      <c r="H114" s="531">
        <f>IF(ISBLANK(D114),"",1/G114)</f>
        <v>1.8019013109824213E-2</v>
      </c>
      <c r="I114" s="531">
        <f>IF(ISBLANK(D114),"",IF(E114="log",K114*R_atm*(M114+273.15)*0.001,IF(E114="dimensionless",K114*R_atm*(M114+273.15)*0.001,IF(E114="Pa-m3/mol",D114/101325,IF(E114="log Pa-m3/mol",(10^D114)/101325,IF(E114="mol/dm3-atm",1/(D114*1000),IF(E114="atm-m3/mol",D114,0)))))))</f>
        <v>5.477121642016745E-4</v>
      </c>
      <c r="J114" s="531">
        <f>IF(ISBLANK(D114),"",1/I114)</f>
        <v>1825.7765033529315</v>
      </c>
      <c r="K114" s="531">
        <f>IF(ISBLANK(D114),"",IF(E114="log",10^D114,IF(E114="dimensionless",D114,I114/(R_atm*(M114+273.15)*0.001))))</f>
        <v>2.2387211385683389E-2</v>
      </c>
      <c r="L114" s="531">
        <f>IF(ISBLANK(D114),"",IF(E114="log",D114,IF(E114="dimensionless",LOG(D114),LOG(K114))))</f>
        <v>-1.65</v>
      </c>
      <c r="M114" s="546">
        <v>25</v>
      </c>
      <c r="N114" s="542"/>
      <c r="O114" s="542" t="s">
        <v>523</v>
      </c>
      <c r="P114" s="100">
        <f>VLOOKUP(O114,References!$B$7:$F$252,5,FALSE)</f>
        <v>127</v>
      </c>
    </row>
    <row r="115" spans="1:16" x14ac:dyDescent="0.2">
      <c r="A115" s="904"/>
      <c r="B115" s="897"/>
      <c r="C115" s="905"/>
      <c r="D115" s="547">
        <v>3.29</v>
      </c>
      <c r="E115" s="547" t="s">
        <v>599</v>
      </c>
      <c r="F115" s="544" t="s">
        <v>601</v>
      </c>
      <c r="G115" s="531">
        <f>IF(ISBLANK(D115),"",IF(E115="log",K115*R_Pa*(M115+273.15)*0.001,IF(E115="dimensionless",K115*R_Pa*(M115+273.15)*0.001,IF(E115="Pa-m3/mol",D115,IF(E115="log Pa-m3/mol",10^D115,IF(E115="mol/dm3-atm",I115*101325,IF(E115="atm-m3/mol",I115*101325,0)))))))</f>
        <v>4833580.9772024648</v>
      </c>
      <c r="H115" s="531">
        <f>IF(ISBLANK(D115),"",1/G115)</f>
        <v>2.0688595157844459E-7</v>
      </c>
      <c r="I115" s="531">
        <f>IF(ISBLANK(D115),"",IF(E115="log",K115*R_atm*(M115+273.15)*0.001,IF(E115="dimensionless",K115*R_atm*(M115+273.15)*0.001,IF(E115="Pa-m3/mol",D115/101325,IF(E115="log Pa-m3/mol",(10^D115)/101325,IF(E115="mol/dm3-atm",1/(D115*1000),IF(E115="atm-m3/mol",D115,0)))))))</f>
        <v>47.703735279570516</v>
      </c>
      <c r="J115" s="531">
        <f>IF(ISBLANK(D115),"",1/I115)</f>
        <v>2.096271904368582E-2</v>
      </c>
      <c r="K115" s="531">
        <f>IF(ISBLANK(D115),"",IF(E115="log",10^D115,IF(E115="dimensionless",D115,I115/(R_atm*(M115+273.15)*0.001))))</f>
        <v>1949.8445997580463</v>
      </c>
      <c r="L115" s="531">
        <f>IF(ISBLANK(D115),"",IF(E115="log",D115,IF(E115="dimensionless",LOG(D115),LOG(K115))))</f>
        <v>3.29</v>
      </c>
      <c r="M115" s="547">
        <v>25</v>
      </c>
      <c r="N115" s="542"/>
      <c r="O115" s="542" t="s">
        <v>525</v>
      </c>
      <c r="P115" s="100">
        <f>VLOOKUP(O115,References!$B$7:$F$252,5,FALSE)</f>
        <v>61</v>
      </c>
    </row>
    <row r="116" spans="1:16" ht="16" x14ac:dyDescent="0.2">
      <c r="A116" s="904"/>
      <c r="B116" s="897"/>
      <c r="C116" s="905"/>
      <c r="D116" s="556">
        <v>4.2300000000000003E-3</v>
      </c>
      <c r="E116" s="543" t="s">
        <v>594</v>
      </c>
      <c r="F116" s="544" t="s">
        <v>571</v>
      </c>
      <c r="G116" s="531">
        <f>IF(ISBLANK(D116),"",IF(E116="log",K116*R_Pa*(M116+273.15)*0.001,IF(E116="dimensionless",K116*R_Pa*(M116+273.15)*0.001,IF(E116="Pa-m3/mol",D116,IF(E116="log Pa-m3/mol",10^D116,IF(E116="mol/dm3-atm",I116*101325,IF(E116="atm-m3/mol",I116*101325,0)))))))</f>
        <v>428.60475000000002</v>
      </c>
      <c r="H116" s="531">
        <f>IF(ISBLANK(D116),"",1/G116)</f>
        <v>2.3331519307707156E-3</v>
      </c>
      <c r="I116" s="531">
        <f>IF(ISBLANK(D116),"",IF(E116="log",K116*R_atm*(M116+273.15)*0.001,IF(E116="dimensionless",K116*R_atm*(M116+273.15)*0.001,IF(E116="Pa-m3/mol",D116/101325,IF(E116="log Pa-m3/mol",(10^D116)/101325,IF(E116="mol/dm3-atm",1/(D116*1000),IF(E116="atm-m3/mol",D116,0)))))))</f>
        <v>4.2300000000000003E-3</v>
      </c>
      <c r="J116" s="531">
        <f>IF(ISBLANK(D116),"",1/I116)</f>
        <v>236.40661938534276</v>
      </c>
      <c r="K116" s="531">
        <f>IF(ISBLANK(D116),"",IF(E116="log",10^D116,IF(E116="dimensionless",D116,I116/(R_atm*(M116+273.15)*0.001))))</f>
        <v>0.1728972083347263</v>
      </c>
      <c r="L116" s="531">
        <f>IF(ISBLANK(D116),"",IF(E116="log",D116,IF(E116="dimensionless",LOG(D116),LOG(K116))))</f>
        <v>-0.7622120189563355</v>
      </c>
      <c r="M116" s="546">
        <v>25</v>
      </c>
      <c r="N116" s="542"/>
      <c r="O116" s="542" t="s">
        <v>606</v>
      </c>
      <c r="P116" s="100">
        <f>VLOOKUP(O116,References!$B$7:$F$252,5,FALSE)</f>
        <v>135</v>
      </c>
    </row>
    <row r="117" spans="1:16" ht="16" x14ac:dyDescent="0.2">
      <c r="A117" s="904"/>
      <c r="B117" s="897"/>
      <c r="C117" s="905"/>
      <c r="D117" s="547">
        <v>1.7999999999999999E-11</v>
      </c>
      <c r="E117" s="543" t="s">
        <v>594</v>
      </c>
      <c r="F117" s="544" t="s">
        <v>515</v>
      </c>
      <c r="G117" s="533">
        <f t="shared" si="41"/>
        <v>1.8238499999999999E-6</v>
      </c>
      <c r="H117" s="533">
        <f t="shared" si="36"/>
        <v>548290.70373111824</v>
      </c>
      <c r="I117" s="533">
        <f t="shared" si="42"/>
        <v>1.7999999999999999E-11</v>
      </c>
      <c r="J117" s="533">
        <f t="shared" si="38"/>
        <v>55555555555.555557</v>
      </c>
      <c r="K117" s="533">
        <f t="shared" si="43"/>
        <v>7.3573280142436724E-10</v>
      </c>
      <c r="L117" s="531">
        <f t="shared" si="40"/>
        <v>-9.1332798812280718</v>
      </c>
      <c r="M117" s="543">
        <v>25</v>
      </c>
      <c r="N117" s="542"/>
      <c r="O117" s="542" t="s">
        <v>511</v>
      </c>
      <c r="P117" s="100">
        <f>VLOOKUP(O117,References!$B$7:$F$252,5,FALSE)</f>
        <v>36</v>
      </c>
    </row>
    <row r="118" spans="1:16" ht="16" x14ac:dyDescent="0.2">
      <c r="A118" s="123" t="s">
        <v>195</v>
      </c>
      <c r="B118" s="163" t="s">
        <v>196</v>
      </c>
      <c r="C118" s="119" t="s">
        <v>197</v>
      </c>
      <c r="D118" s="566">
        <v>1.8399999999999999E-11</v>
      </c>
      <c r="E118" s="567" t="s">
        <v>594</v>
      </c>
      <c r="F118" s="566" t="s">
        <v>515</v>
      </c>
      <c r="G118" s="533">
        <f t="shared" ref="G118:G120" si="44">IF(ISBLANK(D118),"",IF(E118="log",K118*R_Pa*(M118+273.15)*0.001,IF(E118="dimensionless",K118*R_Pa*(M118+273.15)*0.001,IF(E118="Pa-m3/mol",D118,IF(E118="log Pa-m3/mol",10^D118,IF(E118="mol/dm3-atm",I118*101325,IF(E118="atm-m3/mol",I118*101325,0)))))))</f>
        <v>1.86438E-6</v>
      </c>
      <c r="H118" s="533">
        <f t="shared" si="36"/>
        <v>536371.34060652868</v>
      </c>
      <c r="I118" s="533">
        <f t="shared" ref="I118:I120" si="45">IF(ISBLANK(D118),"",IF(E118="log",K118*R_atm*(M118+273.15)*0.001,IF(E118="dimensionless",K118*R_atm*(M118+273.15)*0.001,IF(E118="Pa-m3/mol",D118/101325,IF(E118="log Pa-m3/mol",(10^D118)/101325,IF(E118="mol/dm3-atm",1/(D118*1000),IF(E118="atm-m3/mol",D118,0)))))))</f>
        <v>1.8399999999999999E-11</v>
      </c>
      <c r="J118" s="533">
        <f t="shared" si="38"/>
        <v>54347826086.956528</v>
      </c>
      <c r="K118" s="533">
        <f t="shared" ref="K118:K120" si="46">IF(ISBLANK(D118),"",IF(E118="log",10^D118,IF(E118="dimensionless",D118,I118/(R_atm*(M118+273.15)*0.001))))</f>
        <v>7.5208241923379757E-10</v>
      </c>
      <c r="L118" s="540">
        <f t="shared" si="40"/>
        <v>-9.1237345633218414</v>
      </c>
      <c r="M118" s="567">
        <v>25</v>
      </c>
      <c r="N118" s="568"/>
      <c r="O118" s="568" t="s">
        <v>511</v>
      </c>
      <c r="P118" s="124">
        <f>VLOOKUP(O118,References!$B$7:$F$252,5,FALSE)</f>
        <v>36</v>
      </c>
    </row>
    <row r="119" spans="1:16" ht="16" x14ac:dyDescent="0.2">
      <c r="A119" s="898" t="s">
        <v>201</v>
      </c>
      <c r="B119" s="900" t="s">
        <v>202</v>
      </c>
      <c r="C119" s="902" t="s">
        <v>203</v>
      </c>
      <c r="D119" s="490">
        <v>-1.1499999999999999</v>
      </c>
      <c r="E119" s="549" t="s">
        <v>599</v>
      </c>
      <c r="F119" s="550" t="s">
        <v>522</v>
      </c>
      <c r="G119" s="538">
        <f>IF(ISBLANK(D119),"",IF(E119="log",K119*R_Pa*(M119+273.15)*0.001,IF(E119="dimensionless",K119*R_Pa*(M119+273.15)*0.001,IF(E119="Pa-m3/mol",D119,IF(E119="log Pa-m3/mol",10^D119,IF(E119="mol/dm3-atm",I119*101325,IF(E119="atm-m3/mol",I119*101325,0)))))))</f>
        <v>175.49671787764353</v>
      </c>
      <c r="H119" s="538">
        <f>IF(ISBLANK(D119),"",1/G119)</f>
        <v>5.698112261547825E-3</v>
      </c>
      <c r="I119" s="538">
        <f>IF(ISBLANK(D119),"",IF(E119="log",K119*R_atm*(M119+273.15)*0.001,IF(E119="dimensionless",K119*R_atm*(M119+273.15)*0.001,IF(E119="Pa-m3/mol",D119/101325,IF(E119="log Pa-m3/mol",(10^D119)/101325,IF(E119="mol/dm3-atm",1/(D119*1000),IF(E119="atm-m3/mol",D119,0)))))))</f>
        <v>1.732017941057431E-3</v>
      </c>
      <c r="J119" s="538">
        <f>IF(ISBLANK(D119),"",1/I119)</f>
        <v>577.36122490133118</v>
      </c>
      <c r="K119" s="538">
        <f>IF(ISBLANK(D119),"",IF(E119="log",10^D119,IF(E119="dimensionless",D119,I119/(R_atm*(M119+273.15)*0.001))))</f>
        <v>7.0794578438413788E-2</v>
      </c>
      <c r="L119" s="538">
        <f>IF(ISBLANK(D119),"",IF(E119="log",D119,IF(E119="dimensionless",LOG(D119),LOG(K119))))</f>
        <v>-1.1499999999999999</v>
      </c>
      <c r="M119" s="570">
        <v>25</v>
      </c>
      <c r="N119" s="551"/>
      <c r="O119" s="551" t="s">
        <v>523</v>
      </c>
      <c r="P119" s="121">
        <f>VLOOKUP(O119,References!$B$7:$F$252,5,FALSE)</f>
        <v>127</v>
      </c>
    </row>
    <row r="120" spans="1:16" ht="16" x14ac:dyDescent="0.2">
      <c r="A120" s="899"/>
      <c r="B120" s="901"/>
      <c r="C120" s="903"/>
      <c r="D120" s="554">
        <v>3.3099999999999999E-10</v>
      </c>
      <c r="E120" s="553" t="s">
        <v>594</v>
      </c>
      <c r="F120" s="554" t="s">
        <v>515</v>
      </c>
      <c r="G120" s="533">
        <f t="shared" si="44"/>
        <v>3.3538575000000003E-5</v>
      </c>
      <c r="H120" s="533">
        <f t="shared" si="36"/>
        <v>29816.412891722441</v>
      </c>
      <c r="I120" s="533">
        <f t="shared" si="45"/>
        <v>3.3099999999999999E-10</v>
      </c>
      <c r="J120" s="533">
        <f t="shared" si="38"/>
        <v>3021148036.2537766</v>
      </c>
      <c r="K120" s="533">
        <f t="shared" si="46"/>
        <v>1.3529308737303641E-8</v>
      </c>
      <c r="L120" s="533">
        <f t="shared" si="40"/>
        <v>-7.8687243925556594</v>
      </c>
      <c r="M120" s="553">
        <v>25</v>
      </c>
      <c r="N120" s="555"/>
      <c r="O120" s="555" t="s">
        <v>511</v>
      </c>
      <c r="P120" s="122">
        <f>VLOOKUP(O120,References!$B$7:$F$252,5,FALSE)</f>
        <v>36</v>
      </c>
    </row>
    <row r="121" spans="1:16" customFormat="1" ht="17" thickBot="1" x14ac:dyDescent="0.25">
      <c r="A121" s="243" t="s">
        <v>207</v>
      </c>
      <c r="B121" s="145" t="s">
        <v>208</v>
      </c>
      <c r="C121" s="145" t="s">
        <v>209</v>
      </c>
      <c r="D121" s="354">
        <v>3.4699999999999999E-10</v>
      </c>
      <c r="E121" s="58" t="s">
        <v>594</v>
      </c>
      <c r="F121" s="58" t="s">
        <v>515</v>
      </c>
      <c r="G121" s="604">
        <f t="shared" ref="G121" si="47">IF(ISBLANK(D121),"",IF(E121="log",K121*R_Pa*(M121+273.15)*0.001,IF(E121="dimensionless",K121*R_Pa*(M121+273.15)*0.001,IF(E121="Pa-m3/mol",D121,IF(E121="log Pa-m3/mol",10^D121,IF(E121="mol/dm3-atm",I121*101325,IF(E121="atm-m3/mol",I121*101325,0)))))))</f>
        <v>3.5159775E-5</v>
      </c>
      <c r="H121" s="604">
        <f t="shared" ref="H121" si="48">IF(ISBLANK(D121),"",1/G121)</f>
        <v>28441.59270074965</v>
      </c>
      <c r="I121" s="604">
        <f t="shared" ref="I121" si="49">IF(ISBLANK(D121),"",IF(E121="log",K121*R_atm*(M121+273.15)*0.001,IF(E121="dimensionless",K121*R_atm*(M121+273.15)*0.001,IF(E121="Pa-m3/mol",D121/101325,IF(E121="log Pa-m3/mol",(10^D121)/101325,IF(E121="mol/dm3-atm",1/(D121*1000),IF(E121="atm-m3/mol",D121,0)))))))</f>
        <v>3.4699999999999999E-10</v>
      </c>
      <c r="J121" s="604">
        <f t="shared" ref="J121" si="50">IF(ISBLANK(D121),"",1/I121)</f>
        <v>2881844380.4034581</v>
      </c>
      <c r="K121" s="604">
        <f t="shared" ref="K121" si="51">IF(ISBLANK(D121),"",IF(E121="log",10^D121,IF(E121="dimensionless",D121,I121/(R_atm*(M121+273.15)*0.001))))</f>
        <v>1.4183293449680858E-8</v>
      </c>
      <c r="L121" s="604">
        <f t="shared" ref="L121" si="52">IF(ISBLANK(D121),"",IF(E121="log",D121,IF(E121="dimensionless",LOG(D121),LOG(K121))))</f>
        <v>-7.8482229115405042</v>
      </c>
      <c r="M121" s="348">
        <v>25</v>
      </c>
      <c r="N121" s="687"/>
      <c r="O121" s="688" t="s">
        <v>511</v>
      </c>
      <c r="P121" s="101">
        <f>VLOOKUP(O121,References!$B$7:$F$252,5,FALSE)</f>
        <v>36</v>
      </c>
    </row>
    <row r="122" spans="1:16" ht="17" thickBot="1" x14ac:dyDescent="0.25">
      <c r="A122" s="74" t="s">
        <v>210</v>
      </c>
      <c r="B122" s="162" t="s">
        <v>211</v>
      </c>
      <c r="C122" s="75"/>
      <c r="D122" s="75"/>
      <c r="E122" s="75"/>
      <c r="F122" s="75"/>
      <c r="G122" s="537"/>
      <c r="H122" s="537"/>
      <c r="I122" s="537"/>
      <c r="J122" s="537"/>
      <c r="K122" s="537"/>
      <c r="L122" s="107"/>
      <c r="M122" s="75"/>
      <c r="N122" s="75"/>
      <c r="O122" s="75"/>
      <c r="P122" s="76"/>
    </row>
    <row r="123" spans="1:16" ht="16" x14ac:dyDescent="0.2">
      <c r="A123" s="595" t="s">
        <v>212</v>
      </c>
      <c r="B123" s="296" t="s">
        <v>213</v>
      </c>
      <c r="C123" s="296" t="s">
        <v>214</v>
      </c>
      <c r="D123" s="296">
        <v>-4.1100000000000003</v>
      </c>
      <c r="E123" s="689" t="s">
        <v>599</v>
      </c>
      <c r="F123" s="689" t="s">
        <v>522</v>
      </c>
      <c r="G123" s="525">
        <f>IF(ISBLANK(D123),"",IF(E123="log",K123*R_Pa*(M123+273.15)*0.001,IF(E123="dimensionless",K123*R_Pa*(M123+273.15)*0.001,IF(E123="Pa-m3/mol",D123,IF(E123="log Pa-m3/mol",10^D123,IF(E123="mol/dm3-atm",I123*101325,IF(E123="atm-m3/mol",I123*101325,0)))))))</f>
        <v>0.19242832464752774</v>
      </c>
      <c r="H123" s="525">
        <f>IF(ISBLANK(D123),"",1/G123)</f>
        <v>5.1967401463984411</v>
      </c>
      <c r="I123" s="525">
        <f>IF(ISBLANK(D123),"",IF(E123="log",K123*R_atm*(M123+273.15)*0.001,IF(E123="dimensionless",K123*R_atm*(M123+273.15)*0.001,IF(E123="Pa-m3/mol",D123/101325,IF(E123="log Pa-m3/mol",(10^D123)/101325,IF(E123="mol/dm3-atm",1/(D123*1000),IF(E123="atm-m3/mol",D123,0)))))))</f>
        <v>1.8991199076982826E-6</v>
      </c>
      <c r="J123" s="525">
        <f>IF(ISBLANK(D123),"",1/I123)</f>
        <v>526559.69533381995</v>
      </c>
      <c r="K123" s="525">
        <f>IF(ISBLANK(D123),"",IF(E123="log",10^D123,IF(E123="dimensionless",D123,I123/(R_atm*(M123+273.15)*0.001))))</f>
        <v>7.7624711662869057E-5</v>
      </c>
      <c r="L123" s="525">
        <f>IF(ISBLANK(D123),"",IF(E123="log",D123,IF(E123="dimensionless",LOG(D123),LOG(K123))))</f>
        <v>-4.1100000000000003</v>
      </c>
      <c r="M123" s="690">
        <v>25</v>
      </c>
      <c r="N123" s="523"/>
      <c r="O123" s="684" t="s">
        <v>523</v>
      </c>
      <c r="P123" s="173">
        <f>VLOOKUP(O123,References!$B$7:$F$252,5,FALSE)</f>
        <v>127</v>
      </c>
    </row>
    <row r="124" spans="1:16" customFormat="1" ht="16" x14ac:dyDescent="0.2">
      <c r="A124" s="585" t="s">
        <v>215</v>
      </c>
      <c r="B124" s="239" t="s">
        <v>216</v>
      </c>
      <c r="C124" s="239" t="s">
        <v>217</v>
      </c>
      <c r="D124" s="327">
        <v>2.2400000000000001E-9</v>
      </c>
      <c r="E124" s="588" t="s">
        <v>594</v>
      </c>
      <c r="F124" s="59" t="s">
        <v>515</v>
      </c>
      <c r="G124" s="469">
        <f t="shared" ref="G124" si="53">IF(ISBLANK(D124),"",IF(E124="log",K124*R_Pa*(M124+273.15)*0.001,IF(E124="dimensionless",K124*R_Pa*(M124+273.15)*0.001,IF(E124="Pa-m3/mol",D124,IF(E124="log Pa-m3/mol",10^D124,IF(E124="mol/dm3-atm",I124*101325,IF(E124="atm-m3/mol",I124*101325,0)))))))</f>
        <v>2.26968E-4</v>
      </c>
      <c r="H124" s="469">
        <f t="shared" ref="H124" si="54">IF(ISBLANK(D124),"",1/G124)</f>
        <v>4405.9074406964855</v>
      </c>
      <c r="I124" s="469">
        <f t="shared" ref="I124" si="55">IF(ISBLANK(D124),"",IF(E124="log",K124*R_atm*(M124+273.15)*0.001,IF(E124="dimensionless",K124*R_atm*(M124+273.15)*0.001,IF(E124="Pa-m3/mol",D124/101325,IF(E124="log Pa-m3/mol",(10^D124)/101325,IF(E124="mol/dm3-atm",1/(D124*1000),IF(E124="atm-m3/mol",D124,0)))))))</f>
        <v>2.2400000000000001E-9</v>
      </c>
      <c r="J124" s="469">
        <f t="shared" ref="J124" si="56">IF(ISBLANK(D124),"",1/I124)</f>
        <v>446428571.4285714</v>
      </c>
      <c r="K124" s="469">
        <f t="shared" ref="K124" si="57">IF(ISBLANK(D124),"",IF(E124="log",10^D124,IF(E124="dimensionless",D124,I124/(R_atm*(M124+273.15)*0.001))))</f>
        <v>9.1557859732810154E-8</v>
      </c>
      <c r="L124" s="469">
        <f t="shared" ref="L124" si="58">IF(ISBLANK(D124),"",IF(E124="log",D124,IF(E124="dimensionless",LOG(D124),LOG(K124))))</f>
        <v>-7.038304367997215</v>
      </c>
      <c r="M124" s="469">
        <v>25</v>
      </c>
      <c r="N124" s="195"/>
      <c r="O124" s="598" t="s">
        <v>511</v>
      </c>
      <c r="P124" s="122">
        <f>VLOOKUP(O124,References!$B$7:$F$252,5,FALSE)</f>
        <v>36</v>
      </c>
    </row>
    <row r="125" spans="1:16" customFormat="1" ht="16" x14ac:dyDescent="0.2">
      <c r="A125" s="295" t="s">
        <v>221</v>
      </c>
      <c r="B125" s="131" t="s">
        <v>222</v>
      </c>
      <c r="C125" s="131" t="s">
        <v>223</v>
      </c>
      <c r="D125" s="131">
        <v>-3.42</v>
      </c>
      <c r="E125" s="163" t="s">
        <v>599</v>
      </c>
      <c r="F125" s="131" t="s">
        <v>522</v>
      </c>
      <c r="G125" s="525">
        <f>IF(ISBLANK(D125),"",IF(E125="log",K125*R_Pa*(M125+273.15)*0.001,IF(E125="dimensionless",K125*R_Pa*(M125+273.15)*0.001,IF(E125="Pa-m3/mol",D125,IF(E125="log Pa-m3/mol",10^D125,IF(E125="mol/dm3-atm",I125*101325,IF(E125="atm-m3/mol",I125*101325,0)))))))</f>
        <v>0.94247317658914354</v>
      </c>
      <c r="H125" s="525">
        <f>IF(ISBLANK(D125),"",1/G125)</f>
        <v>1.0610381545489165</v>
      </c>
      <c r="I125" s="525">
        <f>IF(ISBLANK(D125),"",IF(E125="log",K125*R_atm*(M125+273.15)*0.001,IF(E125="dimensionless",K125*R_atm*(M125+273.15)*0.001,IF(E125="Pa-m3/mol",D125/101325,IF(E125="log Pa-m3/mol",(10^D125)/101325,IF(E125="mol/dm3-atm",1/(D125*1000),IF(E125="atm-m3/mol",D125,0)))))))</f>
        <v>9.3014870623157854E-6</v>
      </c>
      <c r="J125" s="525">
        <f>IF(ISBLANK(D125),"",1/I125)</f>
        <v>107509.69100966858</v>
      </c>
      <c r="K125" s="525">
        <f>IF(ISBLANK(D125),"",IF(E125="log",10^D125,IF(E125="dimensionless",D125,I125/(R_atm*(M125+273.15)*0.001))))</f>
        <v>3.8018939632056113E-4</v>
      </c>
      <c r="L125" s="525">
        <f>IF(ISBLANK(D125),"",IF(E125="log",D125,IF(E125="dimensionless",LOG(D125),LOG(K125))))</f>
        <v>-3.42</v>
      </c>
      <c r="M125" s="690">
        <v>25</v>
      </c>
      <c r="N125" s="142"/>
      <c r="O125" s="691" t="s">
        <v>523</v>
      </c>
      <c r="P125" s="124">
        <f>VLOOKUP(O125,References!$B$7:$F$252,5,FALSE)</f>
        <v>127</v>
      </c>
    </row>
    <row r="126" spans="1:16" ht="16" x14ac:dyDescent="0.2">
      <c r="A126" s="343" t="s">
        <v>224</v>
      </c>
      <c r="B126" s="348" t="s">
        <v>225</v>
      </c>
      <c r="C126" s="331" t="s">
        <v>226</v>
      </c>
      <c r="D126" s="571">
        <v>2.2699999999999999E-10</v>
      </c>
      <c r="E126" s="553" t="s">
        <v>594</v>
      </c>
      <c r="F126" s="554" t="s">
        <v>515</v>
      </c>
      <c r="G126" s="533">
        <f t="shared" ref="G126:G129" si="59">IF(ISBLANK(D126),"",IF(E126="log",K126*R_Pa*(M126+273.15)*0.001,IF(E126="dimensionless",K126*R_Pa*(M126+273.15)*0.001,IF(E126="Pa-m3/mol",D126,IF(E126="log Pa-m3/mol",10^D126,IF(E126="mol/dm3-atm",I126*101325,IF(E126="atm-m3/mol",I126*101325,0)))))))</f>
        <v>2.3000775E-5</v>
      </c>
      <c r="H126" s="533">
        <f t="shared" ref="H126:H129" si="60">IF(ISBLANK(D126),"",1/G126)</f>
        <v>43476.795890573252</v>
      </c>
      <c r="I126" s="533">
        <f t="shared" ref="I126:I129" si="61">IF(ISBLANK(D126),"",IF(E126="log",K126*R_atm*(M126+273.15)*0.001,IF(E126="dimensionless",K126*R_atm*(M126+273.15)*0.001,IF(E126="Pa-m3/mol",D126/101325,IF(E126="log Pa-m3/mol",(10^D126)/101325,IF(E126="mol/dm3-atm",1/(D126*1000),IF(E126="atm-m3/mol",D126,0)))))))</f>
        <v>2.2699999999999999E-10</v>
      </c>
      <c r="J126" s="533">
        <f t="shared" ref="J126:J129" si="62">IF(ISBLANK(D126),"",1/I126)</f>
        <v>4405286343.6123352</v>
      </c>
      <c r="K126" s="533">
        <f t="shared" ref="K126:K129" si="63">IF(ISBLANK(D126),"",IF(E126="log",10^D126,IF(E126="dimensionless",D126,I126/(R_atm*(M126+273.15)*0.001))))</f>
        <v>9.278408106851742E-9</v>
      </c>
      <c r="L126" s="533">
        <f t="shared" ref="L126:L129" si="64">IF(ISBLANK(D126),"",IF(E126="log",D126,IF(E126="dimensionless",LOG(D126),LOG(K126))))</f>
        <v>-8.0325265291382557</v>
      </c>
      <c r="M126" s="553">
        <v>25</v>
      </c>
      <c r="N126" s="555"/>
      <c r="O126" s="555" t="s">
        <v>511</v>
      </c>
      <c r="P126" s="122">
        <f>VLOOKUP(O126,References!$B$7:$F$252,5,FALSE)</f>
        <v>36</v>
      </c>
    </row>
    <row r="127" spans="1:16" ht="18" customHeight="1" x14ac:dyDescent="0.2">
      <c r="A127" s="898" t="s">
        <v>230</v>
      </c>
      <c r="B127" s="900" t="s">
        <v>231</v>
      </c>
      <c r="C127" s="902" t="s">
        <v>232</v>
      </c>
      <c r="D127" s="550">
        <v>-2.8</v>
      </c>
      <c r="E127" s="549" t="s">
        <v>599</v>
      </c>
      <c r="F127" s="550" t="s">
        <v>522</v>
      </c>
      <c r="G127" s="538">
        <f t="shared" si="59"/>
        <v>3.9288821206204481</v>
      </c>
      <c r="H127" s="538">
        <f t="shared" si="60"/>
        <v>0.25452532534676309</v>
      </c>
      <c r="I127" s="538">
        <f t="shared" si="61"/>
        <v>3.8775051770248828E-5</v>
      </c>
      <c r="J127" s="538">
        <f t="shared" si="62"/>
        <v>25789.778590760674</v>
      </c>
      <c r="K127" s="538">
        <f t="shared" si="63"/>
        <v>1.5848931924611134E-3</v>
      </c>
      <c r="L127" s="538">
        <f t="shared" si="64"/>
        <v>-2.8</v>
      </c>
      <c r="M127" s="570">
        <v>25</v>
      </c>
      <c r="N127" s="551"/>
      <c r="O127" s="551" t="s">
        <v>523</v>
      </c>
      <c r="P127" s="121">
        <f>VLOOKUP(O127,References!$B$7:$F$252,5,FALSE)</f>
        <v>127</v>
      </c>
    </row>
    <row r="128" spans="1:16" ht="16" x14ac:dyDescent="0.2">
      <c r="A128" s="904"/>
      <c r="B128" s="897"/>
      <c r="C128" s="905"/>
      <c r="D128" s="544">
        <v>-2.44</v>
      </c>
      <c r="E128" s="543" t="s">
        <v>599</v>
      </c>
      <c r="F128" s="544" t="s">
        <v>522</v>
      </c>
      <c r="G128" s="531">
        <f t="shared" si="59"/>
        <v>9.0005489616670307</v>
      </c>
      <c r="H128" s="531">
        <f t="shared" si="60"/>
        <v>0.11110433421994137</v>
      </c>
      <c r="I128" s="531">
        <f t="shared" si="61"/>
        <v>8.8828511834858768E-5</v>
      </c>
      <c r="J128" s="531">
        <f t="shared" si="62"/>
        <v>11257.646664835516</v>
      </c>
      <c r="K128" s="531">
        <f t="shared" si="63"/>
        <v>3.630780547701011E-3</v>
      </c>
      <c r="L128" s="531">
        <f t="shared" si="64"/>
        <v>-2.44</v>
      </c>
      <c r="M128" s="546">
        <v>25</v>
      </c>
      <c r="N128" s="542"/>
      <c r="O128" s="542" t="s">
        <v>533</v>
      </c>
      <c r="P128" s="100">
        <f>VLOOKUP(O128,References!$B$7:$F$252,5,FALSE)</f>
        <v>40</v>
      </c>
    </row>
    <row r="129" spans="1:18" ht="16" x14ac:dyDescent="0.2">
      <c r="A129" s="904"/>
      <c r="B129" s="897"/>
      <c r="C129" s="905"/>
      <c r="D129" s="572">
        <v>2.7599999999999999E-4</v>
      </c>
      <c r="E129" s="543" t="s">
        <v>599</v>
      </c>
      <c r="F129" s="544" t="s">
        <v>571</v>
      </c>
      <c r="G129" s="531">
        <f t="shared" si="59"/>
        <v>2480.5329409284982</v>
      </c>
      <c r="H129" s="531">
        <f t="shared" si="60"/>
        <v>4.0313917364293738E-4</v>
      </c>
      <c r="I129" s="531">
        <f t="shared" si="61"/>
        <v>2.4480956732578413E-2</v>
      </c>
      <c r="J129" s="531">
        <f t="shared" si="62"/>
        <v>40.848076769370472</v>
      </c>
      <c r="K129" s="531">
        <f t="shared" si="63"/>
        <v>1.0006357154671466</v>
      </c>
      <c r="L129" s="531">
        <f t="shared" si="64"/>
        <v>2.7599999999999999E-4</v>
      </c>
      <c r="M129" s="546">
        <v>25</v>
      </c>
      <c r="N129" s="542"/>
      <c r="O129" s="542" t="s">
        <v>606</v>
      </c>
      <c r="P129" s="100">
        <f>VLOOKUP(O129,References!$B$7:$F$252,5,FALSE)</f>
        <v>135</v>
      </c>
    </row>
    <row r="130" spans="1:18" ht="16" x14ac:dyDescent="0.2">
      <c r="A130" s="904"/>
      <c r="B130" s="897"/>
      <c r="C130" s="905"/>
      <c r="D130" s="572">
        <v>1.7099999999999999E-5</v>
      </c>
      <c r="E130" s="543" t="s">
        <v>599</v>
      </c>
      <c r="F130" s="544" t="s">
        <v>513</v>
      </c>
      <c r="G130" s="531">
        <f>IF(ISBLANK(D130),"",IF(E130="log",K130*R_Pa*(M130+273.15)*0.001,IF(E130="dimensionless",K130*R_Pa*(M130+273.15)*0.001,IF(E130="Pa-m3/mol",D130,IF(E130="log Pa-m3/mol",10^D130,IF(E130="mol/dm3-atm",I130*101325,IF(E130="atm-m3/mol",I130*101325,0)))))))</f>
        <v>2479.0546384865052</v>
      </c>
      <c r="H130" s="531">
        <f>IF(ISBLANK(D130),"",1/G130)</f>
        <v>4.0337957238833306E-4</v>
      </c>
      <c r="I130" s="531">
        <f>IF(ISBLANK(D130),"",IF(E130="log",K130*R_atm*(M130+273.15)*0.001,IF(E130="dimensionless",K130*R_atm*(M130+273.15)*0.001,IF(E130="Pa-m3/mol",D130/101325,IF(E130="log Pa-m3/mol",(10^D130)/101325,IF(E130="mol/dm3-atm",1/(D130*1000),IF(E130="atm-m3/mol",D130,0)))))))</f>
        <v>2.446636702182595E-2</v>
      </c>
      <c r="J130" s="531">
        <f>IF(ISBLANK(D130),"",1/I130)</f>
        <v>40.872435172247691</v>
      </c>
      <c r="K130" s="531">
        <f>IF(ISBLANK(D130),"",IF(E130="log",10^D130,IF(E130="dimensionless",D130,I130/(R_atm*(M130+273.15)*0.001))))</f>
        <v>1.0000393749802643</v>
      </c>
      <c r="L130" s="531">
        <f>IF(ISBLANK(D130),"",IF(E130="log",D130,IF(E130="dimensionless",LOG(D130),LOG(K130))))</f>
        <v>1.7099999999999999E-5</v>
      </c>
      <c r="M130" s="546">
        <v>25</v>
      </c>
      <c r="N130" s="542"/>
      <c r="O130" s="542" t="s">
        <v>606</v>
      </c>
      <c r="P130" s="100">
        <f>VLOOKUP(O130,References!$B$7:$F$252,5,FALSE)</f>
        <v>135</v>
      </c>
    </row>
    <row r="131" spans="1:18" ht="16" x14ac:dyDescent="0.2">
      <c r="A131" s="899"/>
      <c r="B131" s="901"/>
      <c r="C131" s="903"/>
      <c r="D131" s="554">
        <v>2.0600000000000001E-10</v>
      </c>
      <c r="E131" s="553" t="s">
        <v>594</v>
      </c>
      <c r="F131" s="554" t="s">
        <v>515</v>
      </c>
      <c r="G131" s="533">
        <f>IF(ISBLANK(D131),"",IF(E131="log",K131*R_Pa*(M131+273.15)*0.001,IF(E131="dimensionless",K131*R_Pa*(M131+273.15)*0.001,IF(E131="Pa-m3/mol",D131,IF(E131="log Pa-m3/mol",10^D131,IF(E131="mol/dm3-atm",I131*101325,IF(E131="atm-m3/mol",I131*101325,0)))))))</f>
        <v>2.0872950000000001E-5</v>
      </c>
      <c r="H131" s="533">
        <f>IF(ISBLANK(D131),"",1/G131)</f>
        <v>47908.896442524892</v>
      </c>
      <c r="I131" s="533">
        <f>IF(ISBLANK(D131),"",IF(E131="log",K131*R_atm*(M131+273.15)*0.001,IF(E131="dimensionless",K131*R_atm*(M131+273.15)*0.001,IF(E131="Pa-m3/mol",D131/101325,IF(E131="log Pa-m3/mol",(10^D131)/101325,IF(E131="mol/dm3-atm",1/(D131*1000),IF(E131="atm-m3/mol",D131,0)))))))</f>
        <v>2.0600000000000001E-10</v>
      </c>
      <c r="J131" s="533">
        <f>IF(ISBLANK(D131),"",1/I131)</f>
        <v>4854368932.0388346</v>
      </c>
      <c r="K131" s="533">
        <f>IF(ISBLANK(D131),"",IF(E131="log",10^D131,IF(E131="dimensionless",D131,I131/(R_atm*(M131+273.15)*0.001))))</f>
        <v>8.4200531718566478E-9</v>
      </c>
      <c r="L131" s="533">
        <f>IF(ISBLANK(D131),"",IF(E131="log",D131,IF(E131="dimensionless",LOG(D131),LOG(K131))))</f>
        <v>-8.0746851659622241</v>
      </c>
      <c r="M131" s="573">
        <v>25</v>
      </c>
      <c r="N131" s="555"/>
      <c r="O131" s="555" t="s">
        <v>511</v>
      </c>
      <c r="P131" s="122">
        <f>VLOOKUP(O131,References!$B$7:$F$252,5,FALSE)</f>
        <v>36</v>
      </c>
    </row>
    <row r="132" spans="1:18" customFormat="1" ht="16" x14ac:dyDescent="0.2">
      <c r="A132" s="584" t="s">
        <v>236</v>
      </c>
      <c r="B132" s="151" t="s">
        <v>237</v>
      </c>
      <c r="C132" s="167" t="s">
        <v>238</v>
      </c>
      <c r="D132" s="692">
        <v>1.8199999999999999E-10</v>
      </c>
      <c r="E132" s="163" t="s">
        <v>594</v>
      </c>
      <c r="F132" s="153" t="s">
        <v>515</v>
      </c>
      <c r="G132" s="525">
        <f>IF(ISBLANK(D132),"",IF(E132="log",K132*R_Pa*(M132+273.15)*0.001,IF(E132="dimensionless",K132*R_Pa*(M132+273.15)*0.001,IF(E132="Pa-m3/mol",D132,IF(E132="log Pa-m3/mol",10^D132,IF(E132="mol/dm3-atm",I132*101325,IF(E132="atm-m3/mol",I132*101325,0)))))))</f>
        <v>1.8441149999999999E-5</v>
      </c>
      <c r="H132" s="525">
        <f>IF(ISBLANK(D132),"",1/G132)</f>
        <v>54226.553116264447</v>
      </c>
      <c r="I132" s="525">
        <f>IF(ISBLANK(D132),"",IF(E132="log",K132*R_atm*(M132+273.15)*0.001,IF(E132="dimensionless",K132*R_atm*(M132+273.15)*0.001,IF(E132="Pa-m3/mol",D132/101325,IF(E132="log Pa-m3/mol",(10^D132)/101325,IF(E132="mol/dm3-atm",1/(D132*1000),IF(E132="atm-m3/mol",D132,0)))))))</f>
        <v>1.8199999999999999E-10</v>
      </c>
      <c r="J132" s="525">
        <f>IF(ISBLANK(D132),"",1/I132)</f>
        <v>5494505494.5054951</v>
      </c>
      <c r="K132" s="525">
        <f>IF(ISBLANK(D132),"",IF(E132="log",10^D132,IF(E132="dimensionless",D132,I132/(R_atm*(M132+273.15)*0.001))))</f>
        <v>7.4390761032908238E-9</v>
      </c>
      <c r="L132" s="525">
        <f>IF(ISBLANK(D132),"",IF(E132="log",D132,IF(E132="dimensionless",LOG(D132),LOG(K132))))</f>
        <v>-8.1284809983463031</v>
      </c>
      <c r="M132" s="525">
        <v>25</v>
      </c>
      <c r="N132" s="131"/>
      <c r="O132" s="599" t="s">
        <v>511</v>
      </c>
      <c r="P132" s="124">
        <f>VLOOKUP(O132,References!$B$7:$F$252,5,FALSE)</f>
        <v>36</v>
      </c>
    </row>
    <row r="133" spans="1:18" s="2" customFormat="1" ht="16" x14ac:dyDescent="0.2">
      <c r="A133" s="839" t="s">
        <v>242</v>
      </c>
      <c r="B133" s="833" t="s">
        <v>243</v>
      </c>
      <c r="C133" s="833" t="s">
        <v>244</v>
      </c>
      <c r="D133" s="693">
        <v>1.51E-10</v>
      </c>
      <c r="E133" s="245" t="s">
        <v>594</v>
      </c>
      <c r="F133" s="57" t="s">
        <v>515</v>
      </c>
      <c r="G133" s="694">
        <f>IF(ISBLANK(D133),"",IF(E133="log",K133*R_Pa*(M133+273.15)*0.001,IF(E133="dimensionless",K133*R_Pa*(M133+273.15)*0.001,IF(E133="Pa-m3/mol",D133,IF(E133="log Pa-m3/mol",10^D133,IF(E133="mol/dm3-atm",I133*101325,IF(E133="atm-m3/mol",I133*101325,0)))))))</f>
        <v>1.5300075000000001E-5</v>
      </c>
      <c r="H133" s="694">
        <f>IF(ISBLANK(D133),"",1/G133)</f>
        <v>65359.156736159784</v>
      </c>
      <c r="I133" s="694">
        <f>IF(ISBLANK(D133),"",IF(E133="log",K133*R_atm*(M133+273.15)*0.001,IF(E133="dimensionless",K133*R_atm*(M133+273.15)*0.001,IF(E133="Pa-m3/mol",D133/101325,IF(E133="log Pa-m3/mol",(10^D133)/101325,IF(E133="mol/dm3-atm",1/(D133*1000),IF(E133="atm-m3/mol",D133,0)))))))</f>
        <v>1.51E-10</v>
      </c>
      <c r="J133" s="694">
        <f>IF(ISBLANK(D133),"",1/I133)</f>
        <v>6622516556.2913914</v>
      </c>
      <c r="K133" s="694">
        <f>IF(ISBLANK(D133),"",IF(E133="log",10^D133,IF(E133="dimensionless",D133,I133/(R_atm*(M133+273.15)*0.001))))</f>
        <v>6.1719807230599693E-9</v>
      </c>
      <c r="L133" s="694">
        <f>IF(ISBLANK(D133),"",IF(E133="log",D133,IF(E133="dimensionless",LOG(D133),LOG(K133))))</f>
        <v>-8.2095754390382076</v>
      </c>
      <c r="M133" s="245">
        <v>25</v>
      </c>
      <c r="N133" s="57"/>
      <c r="O133" s="682" t="s">
        <v>511</v>
      </c>
      <c r="P133" s="121">
        <f>VLOOKUP(O133,References!$B$7:$F$252,5,FALSE)</f>
        <v>36</v>
      </c>
      <c r="Q133" s="3"/>
      <c r="R133" s="11"/>
    </row>
    <row r="134" spans="1:18" s="2" customFormat="1" ht="16" x14ac:dyDescent="0.2">
      <c r="A134" s="838"/>
      <c r="B134" s="832"/>
      <c r="C134" s="832"/>
      <c r="D134" s="350">
        <v>-2.04</v>
      </c>
      <c r="E134" s="348" t="s">
        <v>599</v>
      </c>
      <c r="F134" s="58" t="s">
        <v>522</v>
      </c>
      <c r="G134" s="433">
        <f t="shared" ref="G134" si="65">IF(ISBLANK(D134),"",IF(E134="log",K134*R_Pa*(M134+273.15)*0.001,IF(E134="dimensionless",K134*R_Pa*(M134+273.15)*0.001,IF(E134="Pa-m3/mol",D134,IF(E134="log Pa-m3/mol",10^D134,IF(E134="mol/dm3-atm",I134*101325,IF(E134="atm-m3/mol",I134*101325,0)))))))</f>
        <v>22.608356812949051</v>
      </c>
      <c r="H134" s="433">
        <f t="shared" ref="H134" si="66">IF(ISBLANK(D134),"",1/G134)</f>
        <v>4.4231432132530966E-2</v>
      </c>
      <c r="I134" s="433">
        <f t="shared" ref="I134" si="67">IF(ISBLANK(D134),"",IF(E134="log",K134*R_atm*(M134+273.15)*0.001,IF(E134="dimensionless",K134*R_atm*(M134+273.15)*0.001,IF(E134="Pa-m3/mol",D134/101325,IF(E134="log Pa-m3/mol",(10^D134)/101325,IF(E134="mol/dm3-atm",1/(D134*1000),IF(E134="atm-m3/mol",D134,0)))))))</f>
        <v>2.2312713360916984E-4</v>
      </c>
      <c r="J134" s="433">
        <f t="shared" ref="J134" si="68">IF(ISBLANK(D134),"",1/I134)</f>
        <v>4481.7498608286833</v>
      </c>
      <c r="K134" s="433">
        <f t="shared" ref="K134" si="69">IF(ISBLANK(D134),"",IF(E134="log",10^D134,IF(E134="dimensionless",D134,I134/(R_atm*(M134+273.15)*0.001))))</f>
        <v>9.1201083935590881E-3</v>
      </c>
      <c r="L134" s="433">
        <f t="shared" ref="L134" si="70">IF(ISBLANK(D134),"",IF(E134="log",D134,IF(E134="dimensionless",LOG(D134),LOG(K134))))</f>
        <v>-2.04</v>
      </c>
      <c r="M134" s="685">
        <v>25</v>
      </c>
      <c r="N134" s="58"/>
      <c r="O134" s="434" t="s">
        <v>523</v>
      </c>
      <c r="P134" s="121">
        <f>VLOOKUP(O134,References!$B$7:$F$252,5,FALSE)</f>
        <v>127</v>
      </c>
      <c r="Q134" s="3"/>
      <c r="R134" s="11"/>
    </row>
    <row r="135" spans="1:18" s="2" customFormat="1" ht="16" x14ac:dyDescent="0.2">
      <c r="A135" s="840"/>
      <c r="B135" s="834"/>
      <c r="C135" s="834"/>
      <c r="D135" s="326">
        <v>0.69</v>
      </c>
      <c r="E135" s="588" t="s">
        <v>595</v>
      </c>
      <c r="F135" s="59" t="s">
        <v>27</v>
      </c>
      <c r="G135" s="469">
        <f>IF(ISBLANK(D135),"",IF(E135="log",K135*R_Pa*(M135+273.15)*0.001,IF(E135="dimensionless",K135*R_Pa*(M135+273.15)*0.001,IF(E135="Pa-m3/mol",D135,IF(E135="log Pa-m3/mol",10^D135,IF(E135="mol/dm3-atm",I135*101325,IF(E135="atm-m3/mol",I135*101325,0)))))))</f>
        <v>1710.4803504256479</v>
      </c>
      <c r="H135" s="469">
        <f>IF(ISBLANK(D135),"",1/G135)</f>
        <v>5.8463109485657231E-4</v>
      </c>
      <c r="I135" s="469">
        <f>IF(ISBLANK(D135),"",IF(E135="log",K135*R_atm*(M135+273.15)*0.001,IF(E135="dimensionless",K135*R_atm*(M135+273.15)*0.001,IF(E135="Pa-m3/mol",D135/101325,IF(E135="log Pa-m3/mol",(10^D135)/101325,IF(E135="mol/dm3-atm",1/(D135*1000),IF(E135="atm-m3/mol",D135,0)))))))</f>
        <v>1.6881128550956373E-2</v>
      </c>
      <c r="J135" s="469">
        <f>IF(ISBLANK(D135),"",1/I135)</f>
        <v>59.23774568634196</v>
      </c>
      <c r="K135" s="469">
        <f>IF(ISBLANK(D135),"",IF(E135="log",10^D135,IF(E135="dimensionless",D135,I135/(R_atm*(M135+273.15)*0.001))))</f>
        <v>0.69</v>
      </c>
      <c r="L135" s="469">
        <f>IF(ISBLANK(D135),"",IF(E135="log",D135,IF(E135="dimensionless",LOG(D135),LOG(K135))))</f>
        <v>-0.16115090926274472</v>
      </c>
      <c r="M135" s="695">
        <v>25</v>
      </c>
      <c r="N135" s="59"/>
      <c r="O135" s="678" t="s">
        <v>609</v>
      </c>
      <c r="P135" s="122">
        <f>VLOOKUP(O135,References!$B$7:$F$252,5,FALSE)</f>
        <v>4</v>
      </c>
      <c r="Q135" s="3"/>
      <c r="R135" s="11"/>
    </row>
    <row r="136" spans="1:18" s="2" customFormat="1" ht="16" x14ac:dyDescent="0.2">
      <c r="A136" s="207" t="s">
        <v>248</v>
      </c>
      <c r="B136" s="239" t="s">
        <v>249</v>
      </c>
      <c r="C136" s="153" t="s">
        <v>250</v>
      </c>
      <c r="D136" s="696">
        <v>-1.39</v>
      </c>
      <c r="E136" s="163" t="s">
        <v>599</v>
      </c>
      <c r="F136" s="131" t="s">
        <v>522</v>
      </c>
      <c r="G136" s="525">
        <f>IF(ISBLANK(D136),"",IF(E136="log",K136*R_Pa*(M136+273.15)*0.001,IF(E136="dimensionless",K136*R_Pa*(M136+273.15)*0.001,IF(E136="Pa-m3/mol",D136,IF(E136="log Pa-m3/mol",10^D136,IF(E136="mol/dm3-atm",I136*101325,IF(E136="atm-m3/mol",I136*101325,0)))))))</f>
        <v>100.98782033838792</v>
      </c>
      <c r="H136" s="525">
        <f>IF(ISBLANK(D136),"",1/G136)</f>
        <v>9.9021842104247866E-3</v>
      </c>
      <c r="I136" s="525">
        <f>IF(ISBLANK(D136),"",IF(E136="log",K136*R_atm*(M136+273.15)*0.001,IF(E136="dimensionless",K136*R_atm*(M136+273.15)*0.001,IF(E136="Pa-m3/mol",D136/101325,IF(E136="log Pa-m3/mol",(10^D136)/101325,IF(E136="mol/dm3-atm",1/(D136*1000),IF(E136="atm-m3/mol",D136,0)))))))</f>
        <v>9.9667229546891961E-4</v>
      </c>
      <c r="J136" s="525">
        <f>IF(ISBLANK(D136),"",1/I136)</f>
        <v>1003.3388151212879</v>
      </c>
      <c r="K136" s="525">
        <f>IF(ISBLANK(D136),"",IF(E136="log",10^D136,IF(E136="dimensionless",D136,I136/(R_atm*(M136+273.15)*0.001))))</f>
        <v>4.0738027780411273E-2</v>
      </c>
      <c r="L136" s="525">
        <f>IF(ISBLANK(D136),"",IF(E136="log",D136,IF(E136="dimensionless",LOG(D136),LOG(K136))))</f>
        <v>-1.39</v>
      </c>
      <c r="M136" s="690">
        <v>25</v>
      </c>
      <c r="N136" s="131"/>
      <c r="O136" s="691" t="s">
        <v>523</v>
      </c>
      <c r="P136" s="124">
        <f>VLOOKUP(O136,References!$B$7:$F$252,5,FALSE)</f>
        <v>127</v>
      </c>
      <c r="Q136" s="3"/>
      <c r="R136" s="11"/>
    </row>
    <row r="137" spans="1:18" s="2" customFormat="1" ht="17" thickBot="1" x14ac:dyDescent="0.25">
      <c r="A137" s="586" t="s">
        <v>252</v>
      </c>
      <c r="B137" s="145" t="s">
        <v>253</v>
      </c>
      <c r="C137" s="145" t="s">
        <v>254</v>
      </c>
      <c r="D137" s="350">
        <v>-0.57999999999999996</v>
      </c>
      <c r="E137" s="163" t="s">
        <v>599</v>
      </c>
      <c r="F137" s="131" t="s">
        <v>522</v>
      </c>
      <c r="G137" s="525">
        <f>IF(ISBLANK(D137),"",IF(E137="log",K137*R_Pa*(M137+273.15)*0.001,IF(E137="dimensionless",K137*R_Pa*(M137+273.15)*0.001,IF(E137="Pa-m3/mol",D137,IF(E137="log Pa-m3/mol",10^D137,IF(E137="mol/dm3-atm",I137*101325,IF(E137="atm-m3/mol",I137*101325,0)))))))</f>
        <v>652.03213282472154</v>
      </c>
      <c r="H137" s="525">
        <f>IF(ISBLANK(D137),"",1/G137)</f>
        <v>1.5336667468638678E-3</v>
      </c>
      <c r="I137" s="525">
        <f>IF(ISBLANK(D137),"",IF(E137="log",K137*R_atm*(M137+273.15)*0.001,IF(E137="dimensionless",K137*R_atm*(M137+273.15)*0.001,IF(E137="Pa-m3/mol",D137/101325,IF(E137="log Pa-m3/mol",(10^D137)/101325,IF(E137="mol/dm3-atm",1/(D137*1000),IF(E137="atm-m3/mol",D137,0)))))))</f>
        <v>6.4350568253118577E-3</v>
      </c>
      <c r="J137" s="525">
        <f>IF(ISBLANK(D137),"",1/I137)</f>
        <v>155.39878312598083</v>
      </c>
      <c r="K137" s="525">
        <f>IF(ISBLANK(D137),"",IF(E137="log",10^D137,IF(E137="dimensionless",D137,I137/(R_atm*(M137+273.15)*0.001))))</f>
        <v>0.2630267991895382</v>
      </c>
      <c r="L137" s="525">
        <f>IF(ISBLANK(D137),"",IF(E137="log",D137,IF(E137="dimensionless",LOG(D137),LOG(K137))))</f>
        <v>-0.57999999999999996</v>
      </c>
      <c r="M137" s="690">
        <v>25</v>
      </c>
      <c r="N137" s="58"/>
      <c r="O137" s="691" t="s">
        <v>523</v>
      </c>
      <c r="P137" s="124">
        <f>VLOOKUP(O137,References!$B$7:$F$252,5,FALSE)</f>
        <v>127</v>
      </c>
      <c r="Q137" s="3"/>
      <c r="R137" s="11"/>
    </row>
    <row r="138" spans="1:18" ht="17" thickBot="1" x14ac:dyDescent="0.25">
      <c r="A138" s="74" t="s">
        <v>255</v>
      </c>
      <c r="B138" s="222" t="s">
        <v>256</v>
      </c>
      <c r="C138" s="75"/>
      <c r="D138" s="75"/>
      <c r="E138" s="75"/>
      <c r="F138" s="75"/>
      <c r="G138" s="537"/>
      <c r="H138" s="537"/>
      <c r="I138" s="537"/>
      <c r="J138" s="537"/>
      <c r="K138" s="537"/>
      <c r="L138" s="107"/>
      <c r="M138" s="75"/>
      <c r="N138" s="75"/>
      <c r="O138" s="75"/>
      <c r="P138" s="76"/>
    </row>
    <row r="139" spans="1:18" ht="16" x14ac:dyDescent="0.2">
      <c r="A139" s="904" t="s">
        <v>257</v>
      </c>
      <c r="B139" s="897" t="s">
        <v>258</v>
      </c>
      <c r="C139" s="905" t="s">
        <v>259</v>
      </c>
      <c r="D139" s="432">
        <v>-5.8</v>
      </c>
      <c r="E139" s="348" t="s">
        <v>599</v>
      </c>
      <c r="F139" s="432" t="s">
        <v>522</v>
      </c>
      <c r="G139" s="433">
        <f t="shared" ref="G139:G150" si="71">IF(ISBLANK(D139),"",IF(E139="log",K139*R_Pa*(M139+273.15)*0.001,IF(E139="dimensionless",K139*R_Pa*(M139+273.15)*0.001,IF(E139="Pa-m3/mol",D139,IF(E139="log Pa-m3/mol",10^D139,IF(E139="mol/dm3-atm",I139*101325,IF(E139="atm-m3/mol",I139*101325,0)))))))</f>
        <v>3.9288821206204432E-3</v>
      </c>
      <c r="H139" s="433">
        <f t="shared" ref="H139:H148" si="72">IF(ISBLANK(D139),"",1/G139)</f>
        <v>254.5253253467634</v>
      </c>
      <c r="I139" s="433">
        <f t="shared" ref="I139:I150" si="73">IF(ISBLANK(D139),"",IF(E139="log",K139*R_atm*(M139+273.15)*0.001,IF(E139="dimensionless",K139*R_atm*(M139+273.15)*0.001,IF(E139="Pa-m3/mol",D139/101325,IF(E139="log Pa-m3/mol",(10^D139)/101325,IF(E139="mol/dm3-atm",1/(D139*1000),IF(E139="atm-m3/mol",D139,0)))))))</f>
        <v>3.8775051770248776E-8</v>
      </c>
      <c r="J139" s="433">
        <f t="shared" ref="J139:J148" si="74">IF(ISBLANK(D139),"",1/I139)</f>
        <v>25789778.590760708</v>
      </c>
      <c r="K139" s="433">
        <f t="shared" ref="K139:K150" si="75">IF(ISBLANK(D139),"",IF(E139="log",10^D139,IF(E139="dimensionless",D139,I139/(R_atm*(M139+273.15)*0.001))))</f>
        <v>1.5848931924611111E-6</v>
      </c>
      <c r="L139" s="433">
        <f t="shared" ref="L139:L148" si="76">IF(ISBLANK(D139),"",IF(E139="log",D139,IF(E139="dimensionless",LOG(D139),LOG(K139))))</f>
        <v>-5.8</v>
      </c>
      <c r="M139" s="685">
        <v>25</v>
      </c>
      <c r="N139" s="434"/>
      <c r="O139" s="434" t="s">
        <v>523</v>
      </c>
      <c r="P139" s="100">
        <f>VLOOKUP(O139,References!$B$7:$F$252,5,FALSE)</f>
        <v>127</v>
      </c>
    </row>
    <row r="140" spans="1:18" ht="16" x14ac:dyDescent="0.2">
      <c r="A140" s="904"/>
      <c r="B140" s="897"/>
      <c r="C140" s="905"/>
      <c r="D140" s="432">
        <v>0.09</v>
      </c>
      <c r="E140" s="348" t="s">
        <v>595</v>
      </c>
      <c r="F140" s="432" t="s">
        <v>27</v>
      </c>
      <c r="G140" s="433">
        <f t="shared" ref="G140" si="77">IF(ISBLANK(D140),"",IF(E140="log",K140*R_Pa*(M140+273.15)*0.001,IF(E140="dimensionless",K140*R_Pa*(M140+273.15)*0.001,IF(E140="Pa-m3/mol",D140,IF(E140="log Pa-m3/mol",10^D140,IF(E140="mol/dm3-atm",I140*101325,IF(E140="atm-m3/mol",I140*101325,0)))))))</f>
        <v>223.10613266421498</v>
      </c>
      <c r="H140" s="433">
        <f t="shared" ref="H140" si="78">IF(ISBLANK(D140),"",1/G140)</f>
        <v>4.4821717272337204E-3</v>
      </c>
      <c r="I140" s="433">
        <f t="shared" ref="I140" si="79">IF(ISBLANK(D140),"",IF(E140="log",K140*R_atm*(M140+273.15)*0.001,IF(E140="dimensionless",K140*R_atm*(M140+273.15)*0.001,IF(E140="Pa-m3/mol",D140/101325,IF(E140="log Pa-m3/mol",(10^D140)/101325,IF(E140="mol/dm3-atm",1/(D140*1000),IF(E140="atm-m3/mol",D140,0)))))))</f>
        <v>2.2018863327334399E-3</v>
      </c>
      <c r="J140" s="433">
        <f t="shared" ref="J140" si="80">IF(ISBLANK(D140),"",1/I140)</f>
        <v>454.15605026195504</v>
      </c>
      <c r="K140" s="433">
        <f t="shared" ref="K140" si="81">IF(ISBLANK(D140),"",IF(E140="log",10^D140,IF(E140="dimensionless",D140,I140/(R_atm*(M140+273.15)*0.001))))</f>
        <v>0.09</v>
      </c>
      <c r="L140" s="433">
        <f t="shared" ref="L140" si="82">IF(ISBLANK(D140),"",IF(E140="log",D140,IF(E140="dimensionless",LOG(D140),LOG(K140))))</f>
        <v>-1.0457574905606752</v>
      </c>
      <c r="M140" s="348">
        <v>25</v>
      </c>
      <c r="N140" s="432">
        <v>5.66</v>
      </c>
      <c r="O140" s="434" t="s">
        <v>609</v>
      </c>
      <c r="P140" s="100">
        <f>VLOOKUP(O140,References!$B$7:$F$252,5,FALSE)</f>
        <v>4</v>
      </c>
    </row>
    <row r="141" spans="1:18" ht="16" x14ac:dyDescent="0.2">
      <c r="A141" s="899"/>
      <c r="B141" s="901"/>
      <c r="C141" s="903"/>
      <c r="D141" s="686">
        <v>2.4599999999999998E-10</v>
      </c>
      <c r="E141" s="588" t="s">
        <v>594</v>
      </c>
      <c r="F141" s="686" t="s">
        <v>515</v>
      </c>
      <c r="G141" s="469">
        <f t="shared" ref="G141" si="83">IF(ISBLANK(D141),"",IF(E141="log",K141*R_Pa*(M141+273.15)*0.001,IF(E141="dimensionless",K141*R_Pa*(M141+273.15)*0.001,IF(E141="Pa-m3/mol",D141,IF(E141="log Pa-m3/mol",10^D141,IF(E141="mol/dm3-atm",I141*101325,IF(E141="atm-m3/mol",I141*101325,0)))))))</f>
        <v>2.4925949999999998E-5</v>
      </c>
      <c r="H141" s="469">
        <f t="shared" ref="H141" si="84">IF(ISBLANK(D141),"",1/G141)</f>
        <v>40118.831980325725</v>
      </c>
      <c r="I141" s="469">
        <f t="shared" ref="I141" si="85">IF(ISBLANK(D141),"",IF(E141="log",K141*R_atm*(M141+273.15)*0.001,IF(E141="dimensionless",K141*R_atm*(M141+273.15)*0.001,IF(E141="Pa-m3/mol",D141/101325,IF(E141="log Pa-m3/mol",(10^D141)/101325,IF(E141="mol/dm3-atm",1/(D141*1000),IF(E141="atm-m3/mol",D141,0)))))))</f>
        <v>2.4599999999999998E-10</v>
      </c>
      <c r="J141" s="469">
        <f t="shared" ref="J141" si="86">IF(ISBLANK(D141),"",1/I141)</f>
        <v>4065040650.4065046</v>
      </c>
      <c r="K141" s="469">
        <f t="shared" ref="K141" si="87">IF(ISBLANK(D141),"",IF(E141="log",10^D141,IF(E141="dimensionless",D141,I141/(R_atm*(M141+273.15)*0.001))))</f>
        <v>1.0055014952799684E-8</v>
      </c>
      <c r="L141" s="469">
        <f t="shared" ref="L141" si="88">IF(ISBLANK(D141),"",IF(E141="log",D141,IF(E141="dimensionless",LOG(D141),LOG(K141))))</f>
        <v>-7.9976172792279989</v>
      </c>
      <c r="M141" s="588">
        <v>25</v>
      </c>
      <c r="N141" s="678"/>
      <c r="O141" s="678" t="s">
        <v>511</v>
      </c>
      <c r="P141" s="122">
        <f>VLOOKUP(O141,References!$B$7:$F$252,5,FALSE)</f>
        <v>36</v>
      </c>
    </row>
    <row r="142" spans="1:18" ht="16" x14ac:dyDescent="0.2">
      <c r="A142" s="898" t="s">
        <v>260</v>
      </c>
      <c r="B142" s="900" t="s">
        <v>261</v>
      </c>
      <c r="C142" s="902" t="s">
        <v>262</v>
      </c>
      <c r="D142" s="432">
        <v>-4.8499999999999996</v>
      </c>
      <c r="E142" s="348" t="s">
        <v>599</v>
      </c>
      <c r="F142" s="432" t="s">
        <v>522</v>
      </c>
      <c r="G142" s="433">
        <f>IF(ISBLANK(D142),"",IF(E142="log",K142*R_Pa*(M142+273.15)*0.001,IF(E142="dimensionless",K142*R_Pa*(M142+273.15)*0.001,IF(E142="Pa-m3/mol",D142,IF(E142="log Pa-m3/mol",10^D142,IF(E142="mol/dm3-atm",I142*101325,IF(E142="atm-m3/mol",I142*101325,0)))))))</f>
        <v>3.5016198758198745E-2</v>
      </c>
      <c r="H142" s="433">
        <f>IF(ISBLANK(D142),"",1/G142)</f>
        <v>28.558211212627942</v>
      </c>
      <c r="I142" s="433">
        <f>IF(ISBLANK(D142),"",IF(E142="log",K142*R_atm*(M142+273.15)*0.001,IF(E142="dimensionless",K142*R_atm*(M142+273.15)*0.001,IF(E142="Pa-m3/mol",D142/101325,IF(E142="log Pa-m3/mol",(10^D142)/101325,IF(E142="mol/dm3-atm",1/(D142*1000),IF(E142="atm-m3/mol",D142,0)))))))</f>
        <v>3.4558301266418831E-7</v>
      </c>
      <c r="J142" s="433">
        <f>IF(ISBLANK(D142),"",1/I142)</f>
        <v>2893660.7511195149</v>
      </c>
      <c r="K142" s="433">
        <f>IF(ISBLANK(D142),"",IF(E142="log",10^D142,IF(E142="dimensionless",D142,I142/(R_atm*(M142+273.15)*0.001))))</f>
        <v>1.4125375446227545E-5</v>
      </c>
      <c r="L142" s="433">
        <f>IF(ISBLANK(D142),"",IF(E142="log",D142,IF(E142="dimensionless",LOG(D142),LOG(K142))))</f>
        <v>-4.8499999999999996</v>
      </c>
      <c r="M142" s="685">
        <v>25</v>
      </c>
      <c r="N142" s="434"/>
      <c r="O142" s="434" t="s">
        <v>523</v>
      </c>
      <c r="P142" s="100">
        <f>VLOOKUP(O142,References!$B$7:$F$252,5,FALSE)</f>
        <v>127</v>
      </c>
    </row>
    <row r="143" spans="1:18" ht="16" x14ac:dyDescent="0.2">
      <c r="A143" s="904"/>
      <c r="B143" s="897"/>
      <c r="C143" s="905"/>
      <c r="D143" s="432">
        <v>0.16</v>
      </c>
      <c r="E143" s="348" t="s">
        <v>595</v>
      </c>
      <c r="F143" s="432" t="s">
        <v>27</v>
      </c>
      <c r="G143" s="433">
        <f>IF(ISBLANK(D143),"",IF(E143="log",K143*R_Pa*(M143+273.15)*0.001,IF(E143="dimensionless",K143*R_Pa*(M143+273.15)*0.001,IF(E143="Pa-m3/mol",D143,IF(E143="log Pa-m3/mol",10^D143,IF(E143="mol/dm3-atm",I143*101325,IF(E143="atm-m3/mol",I143*101325,0)))))))</f>
        <v>396.63312473638217</v>
      </c>
      <c r="H143" s="433">
        <f>IF(ISBLANK(D143),"",1/G143)</f>
        <v>2.521221596568968E-3</v>
      </c>
      <c r="I143" s="433">
        <f>IF(ISBLANK(D143),"",IF(E143="log",K143*R_atm*(M143+273.15)*0.001,IF(E143="dimensionless",K143*R_atm*(M143+273.15)*0.001,IF(E143="Pa-m3/mol",D143/101325,IF(E143="log Pa-m3/mol",(10^D143)/101325,IF(E143="mol/dm3-atm",1/(D143*1000),IF(E143="atm-m3/mol",D143,0)))))))</f>
        <v>3.9144645915261157E-3</v>
      </c>
      <c r="J143" s="433">
        <f>IF(ISBLANK(D143),"",1/I143)</f>
        <v>255.46277827234968</v>
      </c>
      <c r="K143" s="433">
        <f>IF(ISBLANK(D143),"",IF(E143="log",10^D143,IF(E143="dimensionless",D143,I143/(R_atm*(M143+273.15)*0.001))))</f>
        <v>0.16</v>
      </c>
      <c r="L143" s="433">
        <f>IF(ISBLANK(D143),"",IF(E143="log",D143,IF(E143="dimensionless",LOG(D143),LOG(K143))))</f>
        <v>-0.79588001734407521</v>
      </c>
      <c r="M143" s="348">
        <v>25</v>
      </c>
      <c r="N143" s="432">
        <v>5.7</v>
      </c>
      <c r="O143" s="434" t="s">
        <v>609</v>
      </c>
      <c r="P143" s="100">
        <f>VLOOKUP(O143,References!$B$7:$F$252,5,FALSE)</f>
        <v>4</v>
      </c>
    </row>
    <row r="144" spans="1:18" ht="16" x14ac:dyDescent="0.2">
      <c r="A144" s="899"/>
      <c r="B144" s="901"/>
      <c r="C144" s="903"/>
      <c r="D144" s="686">
        <v>1.8299999999999999E-10</v>
      </c>
      <c r="E144" s="588" t="s">
        <v>594</v>
      </c>
      <c r="F144" s="686" t="s">
        <v>515</v>
      </c>
      <c r="G144" s="469">
        <f t="shared" si="71"/>
        <v>1.8542474999999999E-5</v>
      </c>
      <c r="H144" s="469">
        <f t="shared" si="72"/>
        <v>53930.233153880486</v>
      </c>
      <c r="I144" s="469">
        <f t="shared" si="73"/>
        <v>1.8299999999999999E-10</v>
      </c>
      <c r="J144" s="469">
        <f t="shared" si="74"/>
        <v>5464480874.3169403</v>
      </c>
      <c r="K144" s="469">
        <f t="shared" si="75"/>
        <v>7.4799501478143999E-9</v>
      </c>
      <c r="L144" s="469">
        <f t="shared" si="76"/>
        <v>-8.1261012966009485</v>
      </c>
      <c r="M144" s="588">
        <v>25</v>
      </c>
      <c r="N144" s="678"/>
      <c r="O144" s="678" t="s">
        <v>511</v>
      </c>
      <c r="P144" s="122">
        <f>VLOOKUP(O144,References!$B$7:$F$252,5,FALSE)</f>
        <v>36</v>
      </c>
    </row>
    <row r="145" spans="1:16" ht="16" x14ac:dyDescent="0.2">
      <c r="A145" s="898" t="s">
        <v>266</v>
      </c>
      <c r="B145" s="900" t="s">
        <v>267</v>
      </c>
      <c r="C145" s="902" t="s">
        <v>268</v>
      </c>
      <c r="D145" s="697">
        <v>1.1000000000000001E-3</v>
      </c>
      <c r="E145" s="348" t="s">
        <v>594</v>
      </c>
      <c r="F145" s="432" t="s">
        <v>571</v>
      </c>
      <c r="G145" s="433">
        <f>IF(ISBLANK(D145),"",IF(E145="log",K145*R_Pa*(M145+273.15)*0.001,IF(E145="dimensionless",K145*R_Pa*(M145+273.15)*0.001,IF(E145="Pa-m3/mol",D145,IF(E145="log Pa-m3/mol",10^D145,IF(E145="mol/dm3-atm",I145*101325,IF(E145="atm-m3/mol",I145*101325,0)))))))</f>
        <v>111.45750000000001</v>
      </c>
      <c r="H145" s="433">
        <f>IF(ISBLANK(D145),"",1/G145)</f>
        <v>8.9720296974182979E-3</v>
      </c>
      <c r="I145" s="433">
        <f>IF(ISBLANK(D145),"",IF(E145="log",K145*R_atm*(M145+273.15)*0.001,IF(E145="dimensionless",K145*R_atm*(M145+273.15)*0.001,IF(E145="Pa-m3/mol",D145/101325,IF(E145="log Pa-m3/mol",(10^D145)/101325,IF(E145="mol/dm3-atm",1/(D145*1000),IF(E145="atm-m3/mol",D145,0)))))))</f>
        <v>1.1000000000000001E-3</v>
      </c>
      <c r="J145" s="433">
        <f>IF(ISBLANK(D145),"",1/I145)</f>
        <v>909.09090909090901</v>
      </c>
      <c r="K145" s="433">
        <f>IF(ISBLANK(D145),"",IF(E145="log",10^D145,IF(E145="dimensionless",D145,I145/(R_atm*(M145+273.15)*0.001))))</f>
        <v>4.4961448975933557E-2</v>
      </c>
      <c r="L145" s="433">
        <f>IF(ISBLANK(D145),"",IF(E145="log",D145,IF(E145="dimensionless",LOG(D145),LOG(K145))))</f>
        <v>-1.3471597011731526</v>
      </c>
      <c r="M145" s="685">
        <v>25</v>
      </c>
      <c r="N145" s="432">
        <v>7</v>
      </c>
      <c r="O145" s="434" t="s">
        <v>608</v>
      </c>
      <c r="P145" s="100">
        <f>VLOOKUP(O145,References!$B$7:$F$252,5,FALSE)</f>
        <v>103</v>
      </c>
    </row>
    <row r="146" spans="1:16" ht="16" x14ac:dyDescent="0.2">
      <c r="A146" s="904"/>
      <c r="B146" s="897"/>
      <c r="C146" s="905"/>
      <c r="D146" s="432">
        <v>-4.5199999999999996</v>
      </c>
      <c r="E146" s="348" t="s">
        <v>599</v>
      </c>
      <c r="F146" s="432" t="s">
        <v>522</v>
      </c>
      <c r="G146" s="433">
        <f>IF(ISBLANK(D146),"",IF(E146="log",K146*R_Pa*(M146+273.15)*0.001,IF(E146="dimensionless",K146*R_Pa*(M146+273.15)*0.001,IF(E146="Pa-m3/mol",D146,IF(E146="log Pa-m3/mol",10^D146,IF(E146="mol/dm3-atm",I146*101325,IF(E146="atm-m3/mol",I146*101325,0)))))))</f>
        <v>7.4863305463504087E-2</v>
      </c>
      <c r="H146" s="433">
        <f>IF(ISBLANK(D146),"",1/G146)</f>
        <v>13.357678956448172</v>
      </c>
      <c r="I146" s="433">
        <f>IF(ISBLANK(D146),"",IF(E146="log",K146*R_atm*(M146+273.15)*0.001,IF(E146="dimensionless",K146*R_atm*(M146+273.15)*0.001,IF(E146="Pa-m3/mol",D146/101325,IF(E146="log Pa-m3/mol",(10^D146)/101325,IF(E146="mol/dm3-atm",1/(D146*1000),IF(E146="atm-m3/mol",D146,0)))))))</f>
        <v>7.3884337985200465E-7</v>
      </c>
      <c r="J146" s="433">
        <f>IF(ISBLANK(D146),"",1/I146)</f>
        <v>1353466.8202621059</v>
      </c>
      <c r="K146" s="433">
        <f>IF(ISBLANK(D146),"",IF(E146="log",10^D146,IF(E146="dimensionless",D146,I146/(R_atm*(M146+273.15)*0.001))))</f>
        <v>3.0199517204020178E-5</v>
      </c>
      <c r="L146" s="433">
        <f>IF(ISBLANK(D146),"",IF(E146="log",D146,IF(E146="dimensionless",LOG(D146),LOG(K146))))</f>
        <v>-4.5199999999999996</v>
      </c>
      <c r="M146" s="685">
        <v>25</v>
      </c>
      <c r="N146" s="434"/>
      <c r="O146" s="434" t="s">
        <v>523</v>
      </c>
      <c r="P146" s="100">
        <f>VLOOKUP(O146,References!$B$7:$F$252,5,FALSE)</f>
        <v>127</v>
      </c>
    </row>
    <row r="147" spans="1:16" ht="16" x14ac:dyDescent="0.2">
      <c r="A147" s="904"/>
      <c r="B147" s="897"/>
      <c r="C147" s="905"/>
      <c r="D147" s="432">
        <v>0.18</v>
      </c>
      <c r="E147" s="348" t="s">
        <v>595</v>
      </c>
      <c r="F147" s="432" t="s">
        <v>27</v>
      </c>
      <c r="G147" s="433">
        <f>IF(ISBLANK(D147),"",IF(E147="log",K147*R_Pa*(M147+273.15)*0.001,IF(E147="dimensionless",K147*R_Pa*(M147+273.15)*0.001,IF(E147="Pa-m3/mol",D147,IF(E147="log Pa-m3/mol",10^D147,IF(E147="mol/dm3-atm",I147*101325,IF(E147="atm-m3/mol",I147*101325,0)))))))</f>
        <v>446.21226532842996</v>
      </c>
      <c r="H147" s="433">
        <f>IF(ISBLANK(D147),"",1/G147)</f>
        <v>2.2410858636168602E-3</v>
      </c>
      <c r="I147" s="433">
        <f>IF(ISBLANK(D147),"",IF(E147="log",K147*R_atm*(M147+273.15)*0.001,IF(E147="dimensionless",K147*R_atm*(M147+273.15)*0.001,IF(E147="Pa-m3/mol",D147/101325,IF(E147="log Pa-m3/mol",(10^D147)/101325,IF(E147="mol/dm3-atm",1/(D147*1000),IF(E147="atm-m3/mol",D147,0)))))))</f>
        <v>4.4037726654668798E-3</v>
      </c>
      <c r="J147" s="433">
        <f>IF(ISBLANK(D147),"",1/I147)</f>
        <v>227.07802513097752</v>
      </c>
      <c r="K147" s="433">
        <f>IF(ISBLANK(D147),"",IF(E147="log",10^D147,IF(E147="dimensionless",D147,I147/(R_atm*(M147+273.15)*0.001))))</f>
        <v>0.18</v>
      </c>
      <c r="L147" s="433">
        <f>IF(ISBLANK(D147),"",IF(E147="log",D147,IF(E147="dimensionless",LOG(D147),LOG(K147))))</f>
        <v>-0.74472749489669399</v>
      </c>
      <c r="M147" s="348">
        <v>25</v>
      </c>
      <c r="N147" s="432">
        <v>5.84</v>
      </c>
      <c r="O147" s="434" t="s">
        <v>609</v>
      </c>
      <c r="P147" s="100">
        <f>VLOOKUP(O147,References!$B$7:$F$252,5,FALSE)</f>
        <v>4</v>
      </c>
    </row>
    <row r="148" spans="1:16" ht="16.5" customHeight="1" x14ac:dyDescent="0.2">
      <c r="A148" s="899"/>
      <c r="B148" s="901"/>
      <c r="C148" s="903"/>
      <c r="D148" s="686">
        <v>1.7900000000000001E-11</v>
      </c>
      <c r="E148" s="588" t="s">
        <v>594</v>
      </c>
      <c r="F148" s="686" t="s">
        <v>515</v>
      </c>
      <c r="G148" s="469">
        <f t="shared" si="71"/>
        <v>1.8137175000000001E-6</v>
      </c>
      <c r="H148" s="469">
        <f t="shared" si="72"/>
        <v>551353.78028827533</v>
      </c>
      <c r="I148" s="469">
        <f t="shared" si="73"/>
        <v>1.7900000000000001E-11</v>
      </c>
      <c r="J148" s="469">
        <f t="shared" si="74"/>
        <v>55865921787.709496</v>
      </c>
      <c r="K148" s="469">
        <f t="shared" si="75"/>
        <v>7.3164539697200966E-10</v>
      </c>
      <c r="L148" s="469">
        <f t="shared" si="76"/>
        <v>-9.135699355351484</v>
      </c>
      <c r="M148" s="588">
        <v>25</v>
      </c>
      <c r="N148" s="678"/>
      <c r="O148" s="678" t="s">
        <v>511</v>
      </c>
      <c r="P148" s="122">
        <f>VLOOKUP(O148,References!$B$7:$F$252,5,FALSE)</f>
        <v>36</v>
      </c>
    </row>
    <row r="149" spans="1:16" ht="16.5" customHeight="1" x14ac:dyDescent="0.2">
      <c r="A149" s="898" t="s">
        <v>272</v>
      </c>
      <c r="B149" s="900" t="s">
        <v>273</v>
      </c>
      <c r="C149" s="902" t="s">
        <v>275</v>
      </c>
      <c r="D149" s="432">
        <v>-3.87</v>
      </c>
      <c r="E149" s="348" t="s">
        <v>599</v>
      </c>
      <c r="F149" s="432" t="s">
        <v>522</v>
      </c>
      <c r="G149" s="433">
        <f>IF(ISBLANK(D149),"",IF(E149="log",K149*R_Pa*(M149+273.15)*0.001,IF(E149="dimensionless",K149*R_Pa*(M149+273.15)*0.001,IF(E149="Pa-m3/mol",D149,IF(E149="log Pa-m3/mol",10^D149,IF(E149="mol/dm3-atm",I149*101325,IF(E149="atm-m3/mol",I149*101325,0)))))))</f>
        <v>0.33440210204732806</v>
      </c>
      <c r="H149" s="433">
        <f>IF(ISBLANK(D149),"",1/G149)</f>
        <v>2.990411824201002</v>
      </c>
      <c r="I149" s="433">
        <f>IF(ISBLANK(D149),"",IF(E149="log",K149*R_atm*(M149+273.15)*0.001,IF(E149="dimensionless",K149*R_atm*(M149+273.15)*0.001,IF(E149="Pa-m3/mol",D149/101325,IF(E149="log Pa-m3/mol",(10^D149)/101325,IF(E149="mol/dm3-atm",1/(D149*1000),IF(E149="atm-m3/mol",D149,0)))))))</f>
        <v>3.3002921494925172E-6</v>
      </c>
      <c r="J149" s="433">
        <f>IF(ISBLANK(D149),"",1/I149)</f>
        <v>303003.47808716539</v>
      </c>
      <c r="K149" s="433">
        <f>IF(ISBLANK(D149),"",IF(E149="log",10^D149,IF(E149="dimensionless",D149,I149/(R_atm*(M149+273.15)*0.001))))</f>
        <v>1.3489628825916533E-4</v>
      </c>
      <c r="L149" s="433">
        <f>IF(ISBLANK(D149),"",IF(E149="log",D149,IF(E149="dimensionless",LOG(D149),LOG(K149))))</f>
        <v>-3.87</v>
      </c>
      <c r="M149" s="685">
        <v>25</v>
      </c>
      <c r="N149" s="434"/>
      <c r="O149" s="434" t="s">
        <v>523</v>
      </c>
      <c r="P149" s="100">
        <f>VLOOKUP(O149,References!$B$7:$F$252,5,FALSE)</f>
        <v>127</v>
      </c>
    </row>
    <row r="150" spans="1:16" ht="16.5" customHeight="1" thickBot="1" x14ac:dyDescent="0.25">
      <c r="A150" s="904"/>
      <c r="B150" s="897"/>
      <c r="C150" s="905"/>
      <c r="D150" s="697">
        <v>3.2600000000000001E-10</v>
      </c>
      <c r="E150" s="348" t="s">
        <v>594</v>
      </c>
      <c r="F150" s="432" t="s">
        <v>515</v>
      </c>
      <c r="G150" s="433">
        <f t="shared" si="71"/>
        <v>3.3031950000000001E-5</v>
      </c>
      <c r="H150" s="433">
        <f>IF(ISBLANK(D150),"",1/G150)</f>
        <v>30273.719837914501</v>
      </c>
      <c r="I150" s="433">
        <f t="shared" si="73"/>
        <v>3.2600000000000001E-10</v>
      </c>
      <c r="J150" s="433">
        <f>IF(ISBLANK(D150),"",1/I150)</f>
        <v>3067484662.5766869</v>
      </c>
      <c r="K150" s="433">
        <f t="shared" si="75"/>
        <v>1.3324938514685763E-8</v>
      </c>
      <c r="L150" s="433">
        <f>IF(ISBLANK(D150),"",IF(E150="log",D150,IF(E150="dimensionless",LOG(D150),LOG(K150))))</f>
        <v>-7.8753347862634389</v>
      </c>
      <c r="M150" s="348">
        <v>25</v>
      </c>
      <c r="N150" s="432"/>
      <c r="O150" s="434" t="s">
        <v>511</v>
      </c>
      <c r="P150" s="100">
        <f>VLOOKUP(O150,References!$B$7:$F$252,5,FALSE)</f>
        <v>36</v>
      </c>
    </row>
    <row r="151" spans="1:16" ht="17" thickBot="1" x14ac:dyDescent="0.25">
      <c r="A151" s="74" t="s">
        <v>276</v>
      </c>
      <c r="B151" s="162" t="s">
        <v>277</v>
      </c>
      <c r="C151" s="75"/>
      <c r="D151" s="75"/>
      <c r="E151" s="75"/>
      <c r="F151" s="75"/>
      <c r="G151" s="594"/>
      <c r="H151" s="594"/>
      <c r="I151" s="594"/>
      <c r="J151" s="594"/>
      <c r="K151" s="594"/>
      <c r="L151" s="107"/>
      <c r="M151" s="75"/>
      <c r="N151" s="75"/>
      <c r="O151" s="75"/>
      <c r="P151" s="76"/>
    </row>
    <row r="152" spans="1:16" s="351" customFormat="1" ht="16" x14ac:dyDescent="0.2">
      <c r="A152" s="374" t="s">
        <v>278</v>
      </c>
      <c r="B152" s="239" t="s">
        <v>279</v>
      </c>
      <c r="C152" s="239" t="s">
        <v>280</v>
      </c>
      <c r="D152" s="360">
        <v>3.1899999999999998E-10</v>
      </c>
      <c r="E152" s="360" t="s">
        <v>594</v>
      </c>
      <c r="F152" s="360" t="s">
        <v>515</v>
      </c>
      <c r="G152" s="469">
        <f t="shared" ref="G152:G158" si="89">IF(ISBLANK(D152),"",IF(E152="log",K152*R_Pa*(M152+273.15)*0.001,IF(E152="dimensionless",K152*R_Pa*(M152+273.15)*0.001,IF(E152="Pa-m3/mol",D152,IF(E152="log Pa-m3/mol",10^D152,IF(E152="mol/dm3-atm",I152*101325,IF(E152="atm-m3/mol",I152*101325,0)))))))</f>
        <v>3.2322675E-5</v>
      </c>
      <c r="H152" s="469">
        <f t="shared" ref="H152:H153" si="90">IF(ISBLANK(D152),"",1/G152)</f>
        <v>30938.033439373445</v>
      </c>
      <c r="I152" s="469">
        <f t="shared" ref="I152:I158" si="91">IF(ISBLANK(D152),"",IF(E152="log",K152*R_atm*(M152+273.15)*0.001,IF(E152="dimensionless",K152*R_atm*(M152+273.15)*0.001,IF(E152="Pa-m3/mol",D152/101325,IF(E152="log Pa-m3/mol",(10^D152)/101325,IF(E152="mol/dm3-atm",1/(D152*1000),IF(E152="atm-m3/mol",D152,0)))))))</f>
        <v>3.1899999999999998E-10</v>
      </c>
      <c r="J152" s="469">
        <f t="shared" ref="J152:J153" si="92">IF(ISBLANK(D152),"",1/I152)</f>
        <v>3134796238.2445145</v>
      </c>
      <c r="K152" s="469">
        <f t="shared" ref="K152:K158" si="93">IF(ISBLANK(D152),"",IF(E152="log",10^D152,IF(E152="dimensionless",D152,I152/(R_atm*(M152+273.15)*0.001))))</f>
        <v>1.303882020302073E-8</v>
      </c>
      <c r="L152" s="469">
        <f t="shared" ref="L152:L153" si="94">IF(ISBLANK(D152),"",IF(E152="log",D152,IF(E152="dimensionless",LOG(D152),LOG(K152))))</f>
        <v>-7.8847617032741963</v>
      </c>
      <c r="M152" s="695">
        <v>25</v>
      </c>
      <c r="N152" s="361"/>
      <c r="O152" s="361" t="s">
        <v>511</v>
      </c>
      <c r="P152" s="122">
        <f>VLOOKUP(O152,References!$B$7:$F$252,5,FALSE)</f>
        <v>36</v>
      </c>
    </row>
    <row r="153" spans="1:16" s="351" customFormat="1" ht="16" x14ac:dyDescent="0.2">
      <c r="A153" s="374" t="s">
        <v>283</v>
      </c>
      <c r="B153" s="239" t="s">
        <v>284</v>
      </c>
      <c r="C153" s="239" t="s">
        <v>285</v>
      </c>
      <c r="D153" s="360">
        <v>2.1999999999999999E-10</v>
      </c>
      <c r="E153" s="360" t="s">
        <v>594</v>
      </c>
      <c r="F153" s="360" t="s">
        <v>515</v>
      </c>
      <c r="G153" s="469">
        <f t="shared" si="89"/>
        <v>2.2291499999999998E-5</v>
      </c>
      <c r="H153" s="469">
        <f t="shared" si="90"/>
        <v>44860.148487091494</v>
      </c>
      <c r="I153" s="469">
        <f t="shared" si="91"/>
        <v>2.1999999999999999E-10</v>
      </c>
      <c r="J153" s="469">
        <f t="shared" si="92"/>
        <v>4545454545.454546</v>
      </c>
      <c r="K153" s="469">
        <f t="shared" si="93"/>
        <v>8.9922897951867106E-9</v>
      </c>
      <c r="L153" s="469">
        <f t="shared" si="94"/>
        <v>-8.0461297055091716</v>
      </c>
      <c r="M153" s="695">
        <v>25</v>
      </c>
      <c r="N153" s="361"/>
      <c r="O153" s="361" t="s">
        <v>511</v>
      </c>
      <c r="P153" s="122">
        <f>VLOOKUP(O153,References!$B$7:$F$252,5,FALSE)</f>
        <v>36</v>
      </c>
    </row>
    <row r="154" spans="1:16" x14ac:dyDescent="0.2">
      <c r="A154" s="904" t="s">
        <v>290</v>
      </c>
      <c r="B154" s="897" t="s">
        <v>291</v>
      </c>
      <c r="C154" s="905" t="s">
        <v>293</v>
      </c>
      <c r="D154" s="331">
        <v>-3.92</v>
      </c>
      <c r="E154" s="331" t="s">
        <v>599</v>
      </c>
      <c r="F154" s="432" t="s">
        <v>522</v>
      </c>
      <c r="G154" s="433">
        <f t="shared" si="89"/>
        <v>0.29803618716357771</v>
      </c>
      <c r="H154" s="433">
        <f t="shared" ref="H154:H178" si="95">IF(ISBLANK(D154),"",1/G154)</f>
        <v>3.3552972527163223</v>
      </c>
      <c r="I154" s="433">
        <f t="shared" si="91"/>
        <v>2.9413884743506422E-6</v>
      </c>
      <c r="J154" s="433">
        <f t="shared" ref="J154:J178" si="96">IF(ISBLANK(D154),"",1/I154)</f>
        <v>339975.49413148011</v>
      </c>
      <c r="K154" s="433">
        <f t="shared" si="93"/>
        <v>1.202264434617413E-4</v>
      </c>
      <c r="L154" s="433">
        <f t="shared" ref="L154:L178" si="97">IF(ISBLANK(D154),"",IF(E154="log",D154,IF(E154="dimensionless",LOG(D154),LOG(K154))))</f>
        <v>-3.92</v>
      </c>
      <c r="M154" s="331">
        <v>25</v>
      </c>
      <c r="N154" s="434"/>
      <c r="O154" s="434" t="s">
        <v>570</v>
      </c>
      <c r="P154" s="100">
        <f>VLOOKUP(O154,References!$B$7:$F$252,5,FALSE)</f>
        <v>9</v>
      </c>
    </row>
    <row r="155" spans="1:16" x14ac:dyDescent="0.2">
      <c r="A155" s="904"/>
      <c r="B155" s="897"/>
      <c r="C155" s="905"/>
      <c r="D155" s="331">
        <v>1.71</v>
      </c>
      <c r="E155" s="331" t="s">
        <v>599</v>
      </c>
      <c r="F155" s="432" t="s">
        <v>571</v>
      </c>
      <c r="G155" s="433">
        <f t="shared" si="89"/>
        <v>127136.13330570039</v>
      </c>
      <c r="H155" s="433">
        <f t="shared" si="95"/>
        <v>7.8655845037813743E-6</v>
      </c>
      <c r="I155" s="433">
        <f t="shared" si="91"/>
        <v>1.2547360799970479</v>
      </c>
      <c r="J155" s="433">
        <f t="shared" si="96"/>
        <v>0.79698034984564459</v>
      </c>
      <c r="K155" s="433">
        <f t="shared" si="93"/>
        <v>51.28613839913649</v>
      </c>
      <c r="L155" s="433">
        <f t="shared" si="97"/>
        <v>1.71</v>
      </c>
      <c r="M155" s="331">
        <v>25</v>
      </c>
      <c r="N155" s="434"/>
      <c r="O155" s="434" t="s">
        <v>570</v>
      </c>
      <c r="P155" s="100">
        <f>VLOOKUP(O155,References!$B$7:$F$252,5,FALSE)</f>
        <v>9</v>
      </c>
    </row>
    <row r="156" spans="1:16" ht="16" x14ac:dyDescent="0.2">
      <c r="A156" s="904"/>
      <c r="B156" s="897"/>
      <c r="C156" s="905"/>
      <c r="D156" s="331">
        <v>-1.96</v>
      </c>
      <c r="E156" s="348" t="s">
        <v>599</v>
      </c>
      <c r="F156" s="432" t="s">
        <v>522</v>
      </c>
      <c r="G156" s="433">
        <f t="shared" si="89"/>
        <v>27.181223321348948</v>
      </c>
      <c r="H156" s="433">
        <f>IF(ISBLANK(D156),"",1/G156)</f>
        <v>3.6790102791825784E-2</v>
      </c>
      <c r="I156" s="433">
        <f t="shared" si="91"/>
        <v>2.6825781713643278E-4</v>
      </c>
      <c r="J156" s="433">
        <f>IF(ISBLANK(D156),"",1/I156)</f>
        <v>3727.7571653817331</v>
      </c>
      <c r="K156" s="433">
        <f t="shared" si="93"/>
        <v>1.0964781961431851E-2</v>
      </c>
      <c r="L156" s="433">
        <f>IF(ISBLANK(D156),"",IF(E156="log",D156,IF(E156="dimensionless",LOG(D156),LOG(K156))))</f>
        <v>-1.96</v>
      </c>
      <c r="M156" s="685">
        <v>25</v>
      </c>
      <c r="N156" s="434"/>
      <c r="O156" s="434" t="s">
        <v>523</v>
      </c>
      <c r="P156" s="100">
        <f>VLOOKUP(O156,References!$B$7:$F$252,5,FALSE)</f>
        <v>127</v>
      </c>
    </row>
    <row r="157" spans="1:16" x14ac:dyDescent="0.2">
      <c r="A157" s="904"/>
      <c r="B157" s="897"/>
      <c r="C157" s="905"/>
      <c r="D157" s="331">
        <v>3.42</v>
      </c>
      <c r="E157" s="331" t="s">
        <v>599</v>
      </c>
      <c r="F157" s="432" t="s">
        <v>601</v>
      </c>
      <c r="G157" s="433">
        <f t="shared" si="89"/>
        <v>6520321.3282472156</v>
      </c>
      <c r="H157" s="433">
        <f>IF(ISBLANK(D157),"",1/G157)</f>
        <v>1.5336667468638678E-7</v>
      </c>
      <c r="I157" s="433">
        <f t="shared" si="91"/>
        <v>64.350568253118581</v>
      </c>
      <c r="J157" s="433">
        <f>IF(ISBLANK(D157),"",1/I157)</f>
        <v>1.5539878312598081E-2</v>
      </c>
      <c r="K157" s="433">
        <f t="shared" si="93"/>
        <v>2630.2679918953822</v>
      </c>
      <c r="L157" s="433">
        <f>IF(ISBLANK(D157),"",IF(E157="log",D157,IF(E157="dimensionless",LOG(D157),LOG(K157))))</f>
        <v>3.42</v>
      </c>
      <c r="M157" s="331">
        <v>25</v>
      </c>
      <c r="N157" s="434"/>
      <c r="O157" s="434" t="s">
        <v>525</v>
      </c>
      <c r="P157" s="100">
        <f>VLOOKUP(O157,References!$B$7:$F$252,5,FALSE)</f>
        <v>61</v>
      </c>
    </row>
    <row r="158" spans="1:16" ht="16" x14ac:dyDescent="0.2">
      <c r="A158" s="904"/>
      <c r="B158" s="897"/>
      <c r="C158" s="905"/>
      <c r="D158" s="589">
        <v>1.26E-9</v>
      </c>
      <c r="E158" s="588" t="s">
        <v>594</v>
      </c>
      <c r="F158" s="686" t="s">
        <v>515</v>
      </c>
      <c r="G158" s="469">
        <f t="shared" si="89"/>
        <v>1.2766949999999999E-4</v>
      </c>
      <c r="H158" s="469">
        <f t="shared" si="95"/>
        <v>7832.7243390159756</v>
      </c>
      <c r="I158" s="469">
        <f t="shared" si="91"/>
        <v>1.26E-9</v>
      </c>
      <c r="J158" s="469">
        <f t="shared" si="96"/>
        <v>793650793.65079367</v>
      </c>
      <c r="K158" s="469">
        <f t="shared" si="93"/>
        <v>5.1501296099705705E-8</v>
      </c>
      <c r="L158" s="469">
        <f t="shared" si="97"/>
        <v>-7.2881818412138148</v>
      </c>
      <c r="M158" s="588">
        <v>25</v>
      </c>
      <c r="N158" s="678"/>
      <c r="O158" s="678" t="s">
        <v>511</v>
      </c>
      <c r="P158" s="122">
        <f>VLOOKUP(O158,References!$B$7:$F$252,5,FALSE)</f>
        <v>36</v>
      </c>
    </row>
    <row r="159" spans="1:16" ht="18" customHeight="1" x14ac:dyDescent="0.2">
      <c r="A159" s="898" t="s">
        <v>298</v>
      </c>
      <c r="B159" s="900" t="s">
        <v>299</v>
      </c>
      <c r="C159" s="902" t="s">
        <v>301</v>
      </c>
      <c r="D159" s="698">
        <v>2.2180716932778846</v>
      </c>
      <c r="E159" s="331" t="s">
        <v>599</v>
      </c>
      <c r="F159" s="432" t="s">
        <v>513</v>
      </c>
      <c r="G159" s="433">
        <f t="shared" ref="G159:G167" si="98">IF(ISBLANK(D159),"",IF(E159="log",K159*R_Pa*(M159+273.15)*0.001,IF(E159="dimensionless",K159*R_Pa*(M159+273.15)*0.001,IF(E159="Pa-m3/mol",D159,IF(E159="log Pa-m3/mol",10^D159,IF(E159="mol/dm3-atm",I159*101325,IF(E159="atm-m3/mol",I159*101325,0)))))))</f>
        <v>409581.83937291329</v>
      </c>
      <c r="H159" s="433">
        <f t="shared" si="95"/>
        <v>2.4415145005721965E-6</v>
      </c>
      <c r="I159" s="433">
        <f t="shared" ref="I159:I167" si="99">IF(ISBLANK(D159),"",IF(E159="log",K159*R_atm*(M159+273.15)*0.001,IF(E159="dimensionless",K159*R_atm*(M159+273.15)*0.001,IF(E159="Pa-m3/mol",D159/101325,IF(E159="log Pa-m3/mol",(10^D159)/101325,IF(E159="mol/dm3-atm",1/(D159*1000),IF(E159="atm-m3/mol",D159,0)))))))</f>
        <v>4.0422584690147039</v>
      </c>
      <c r="J159" s="433">
        <f t="shared" si="96"/>
        <v>0.24738645677047685</v>
      </c>
      <c r="K159" s="433">
        <f t="shared" ref="K159:K167" si="100">IF(ISBLANK(D159),"",IF(E159="log",10^D159,IF(E159="dimensionless",D159,I159/(R_atm*(M159+273.15)*0.001))))</f>
        <v>165.22345263830897</v>
      </c>
      <c r="L159" s="433">
        <f t="shared" si="97"/>
        <v>2.2180716932778846</v>
      </c>
      <c r="M159" s="348">
        <v>25</v>
      </c>
      <c r="N159" s="434"/>
      <c r="O159" s="434" t="s">
        <v>600</v>
      </c>
      <c r="P159" s="100">
        <f>VLOOKUP(O159,References!$B$7:$F$252,5,FALSE)</f>
        <v>143</v>
      </c>
    </row>
    <row r="160" spans="1:16" x14ac:dyDescent="0.2">
      <c r="A160" s="904"/>
      <c r="B160" s="897"/>
      <c r="C160" s="905"/>
      <c r="D160" s="698">
        <v>0.28638099559706998</v>
      </c>
      <c r="E160" s="331" t="s">
        <v>599</v>
      </c>
      <c r="F160" s="432" t="s">
        <v>571</v>
      </c>
      <c r="G160" s="433">
        <f t="shared" si="98"/>
        <v>4793.4697865873686</v>
      </c>
      <c r="H160" s="433">
        <f t="shared" si="95"/>
        <v>2.0861714885490775E-4</v>
      </c>
      <c r="I160" s="433">
        <f t="shared" si="99"/>
        <v>4.7307868606833323E-2</v>
      </c>
      <c r="J160" s="433">
        <f t="shared" si="96"/>
        <v>21.138132607723449</v>
      </c>
      <c r="K160" s="433">
        <f t="shared" si="100"/>
        <v>1.9336639277511867</v>
      </c>
      <c r="L160" s="433">
        <f t="shared" si="97"/>
        <v>0.28638099559706998</v>
      </c>
      <c r="M160" s="348">
        <v>25</v>
      </c>
      <c r="N160" s="434"/>
      <c r="O160" s="434" t="s">
        <v>600</v>
      </c>
      <c r="P160" s="100">
        <f>VLOOKUP(O160,References!$B$7:$F$252,5,FALSE)</f>
        <v>143</v>
      </c>
    </row>
    <row r="161" spans="1:16" x14ac:dyDescent="0.2">
      <c r="A161" s="904"/>
      <c r="B161" s="897"/>
      <c r="C161" s="905"/>
      <c r="D161" s="698">
        <v>0.88625056382338896</v>
      </c>
      <c r="E161" s="331" t="s">
        <v>599</v>
      </c>
      <c r="F161" s="432" t="s">
        <v>522</v>
      </c>
      <c r="G161" s="433">
        <f t="shared" si="98"/>
        <v>19077.416552828534</v>
      </c>
      <c r="H161" s="433">
        <f t="shared" si="95"/>
        <v>5.2417998906237331E-5</v>
      </c>
      <c r="I161" s="433">
        <f t="shared" si="99"/>
        <v>0.18827946264819742</v>
      </c>
      <c r="J161" s="433">
        <f t="shared" si="96"/>
        <v>5.3112537391744779</v>
      </c>
      <c r="K161" s="433">
        <f t="shared" si="100"/>
        <v>7.6957431391573774</v>
      </c>
      <c r="L161" s="433">
        <f t="shared" si="97"/>
        <v>0.88625056382338896</v>
      </c>
      <c r="M161" s="348">
        <v>25</v>
      </c>
      <c r="N161" s="434"/>
      <c r="O161" s="434" t="s">
        <v>600</v>
      </c>
      <c r="P161" s="100">
        <f>VLOOKUP(O161,References!$B$7:$F$252,5,FALSE)</f>
        <v>143</v>
      </c>
    </row>
    <row r="162" spans="1:16" x14ac:dyDescent="0.2">
      <c r="A162" s="904"/>
      <c r="B162" s="897"/>
      <c r="C162" s="905"/>
      <c r="D162" s="698">
        <v>-1.0880299999999998</v>
      </c>
      <c r="E162" s="331" t="s">
        <v>599</v>
      </c>
      <c r="F162" s="432" t="s">
        <v>514</v>
      </c>
      <c r="G162" s="433">
        <f t="shared" si="98"/>
        <v>202.41327827602197</v>
      </c>
      <c r="H162" s="433">
        <f t="shared" si="95"/>
        <v>4.9403873526337764E-3</v>
      </c>
      <c r="I162" s="433">
        <f t="shared" si="99"/>
        <v>1.9976637382286971E-3</v>
      </c>
      <c r="J162" s="433">
        <f t="shared" si="96"/>
        <v>500.58474850561544</v>
      </c>
      <c r="K162" s="433">
        <f t="shared" si="100"/>
        <v>8.1652596579492948E-2</v>
      </c>
      <c r="L162" s="433">
        <f t="shared" si="97"/>
        <v>-1.0880299999999998</v>
      </c>
      <c r="M162" s="348">
        <v>25</v>
      </c>
      <c r="N162" s="434"/>
      <c r="O162" s="434" t="s">
        <v>600</v>
      </c>
      <c r="P162" s="100">
        <f>VLOOKUP(O162,References!$B$7:$F$252,5,FALSE)</f>
        <v>143</v>
      </c>
    </row>
    <row r="163" spans="1:16" ht="16" x14ac:dyDescent="0.2">
      <c r="A163" s="904"/>
      <c r="B163" s="897"/>
      <c r="C163" s="905"/>
      <c r="D163" s="432">
        <v>-0.57999999999999996</v>
      </c>
      <c r="E163" s="348" t="s">
        <v>599</v>
      </c>
      <c r="F163" s="432" t="s">
        <v>522</v>
      </c>
      <c r="G163" s="433">
        <f>IF(ISBLANK(D163),"",IF(E163="log",K163*R_Pa*(M163+273.15)*0.001,IF(E163="dimensionless",K163*R_Pa*(M163+273.15)*0.001,IF(E163="Pa-m3/mol",D163,IF(E163="log Pa-m3/mol",10^D163,IF(E163="mol/dm3-atm",I163*101325,IF(E163="atm-m3/mol",I163*101325,0)))))))</f>
        <v>652.03213282472154</v>
      </c>
      <c r="H163" s="433">
        <f>IF(ISBLANK(D163),"",1/G163)</f>
        <v>1.5336667468638678E-3</v>
      </c>
      <c r="I163" s="433">
        <f>IF(ISBLANK(D163),"",IF(E163="log",K163*R_atm*(M163+273.15)*0.001,IF(E163="dimensionless",K163*R_atm*(M163+273.15)*0.001,IF(E163="Pa-m3/mol",D163/101325,IF(E163="log Pa-m3/mol",(10^D163)/101325,IF(E163="mol/dm3-atm",1/(D163*1000),IF(E163="atm-m3/mol",D163,0)))))))</f>
        <v>6.4350568253118577E-3</v>
      </c>
      <c r="J163" s="433">
        <f>IF(ISBLANK(D163),"",1/I163)</f>
        <v>155.39878312598083</v>
      </c>
      <c r="K163" s="433">
        <f>IF(ISBLANK(D163),"",IF(E163="log",10^D163,IF(E163="dimensionless",D163,I163/(R_atm*(M163+273.15)*0.001))))</f>
        <v>0.2630267991895382</v>
      </c>
      <c r="L163" s="433">
        <f>IF(ISBLANK(D163),"",IF(E163="log",D163,IF(E163="dimensionless",LOG(D163),LOG(K163))))</f>
        <v>-0.57999999999999996</v>
      </c>
      <c r="M163" s="685">
        <v>25</v>
      </c>
      <c r="N163" s="434"/>
      <c r="O163" s="434" t="s">
        <v>523</v>
      </c>
      <c r="P163" s="100">
        <f>VLOOKUP(O163,References!$B$7:$F$252,5,FALSE)</f>
        <v>127</v>
      </c>
    </row>
    <row r="164" spans="1:16" x14ac:dyDescent="0.2">
      <c r="A164" s="904"/>
      <c r="B164" s="897"/>
      <c r="C164" s="905"/>
      <c r="D164" s="699">
        <v>58005747</v>
      </c>
      <c r="E164" s="331" t="s">
        <v>597</v>
      </c>
      <c r="F164" s="432" t="s">
        <v>610</v>
      </c>
      <c r="G164" s="433">
        <f>IF(ISBLANK(D164),"",IF(E164="log",K164*R_Pa*(M164+273.15)*0.001,IF(E164="dimensionless",K164*R_Pa*(M164+273.15)*0.001,IF(E164="Pa-m3/mol",D164,IF(E164="log Pa-m3/mol",10^D164,IF(E164="mol/dm3-atm",I164*101325,IF(E164="atm-m3/mol",I164*101325,0)))))))</f>
        <v>58005747</v>
      </c>
      <c r="H164" s="433">
        <f>IF(ISBLANK(D164),"",1/G164)</f>
        <v>1.723967109672771E-8</v>
      </c>
      <c r="I164" s="433">
        <f>IF(ISBLANK(D164),"",IF(E164="log",K164*R_atm*(M164+273.15)*0.001,IF(E164="dimensionless",K164*R_atm*(M164+273.15)*0.001,IF(E164="Pa-m3/mol",D164/101325,IF(E164="log Pa-m3/mol",(10^D164)/101325,IF(E164="mol/dm3-atm",1/(D164*1000),IF(E164="atm-m3/mol",D164,0)))))))</f>
        <v>572.47221317542562</v>
      </c>
      <c r="J164" s="433">
        <f>IF(ISBLANK(D164),"",1/I164)</f>
        <v>1.7468096738759351E-3</v>
      </c>
      <c r="K164" s="433">
        <f>IF(ISBLANK(D164),"",IF(E164="log",10^D164,IF(E164="dimensionless",D164,I164/(R_atm*(M164+273.15)*0.001))))</f>
        <v>23399.254729842414</v>
      </c>
      <c r="L164" s="433">
        <f>IF(ISBLANK(D164),"",IF(E164="log",D164,IF(E164="dimensionless",LOG(D164),LOG(K164))))</f>
        <v>4.3692020252788897</v>
      </c>
      <c r="M164" s="685">
        <v>25</v>
      </c>
      <c r="N164" s="434"/>
      <c r="O164" s="434" t="s">
        <v>611</v>
      </c>
      <c r="P164" s="100">
        <f>VLOOKUP(O164,References!$B$7:$F$252,5,FALSE)</f>
        <v>136</v>
      </c>
    </row>
    <row r="165" spans="1:16" x14ac:dyDescent="0.2">
      <c r="A165" s="904"/>
      <c r="B165" s="897"/>
      <c r="C165" s="905"/>
      <c r="D165" s="331">
        <v>3.86</v>
      </c>
      <c r="E165" s="331" t="s">
        <v>599</v>
      </c>
      <c r="F165" s="432" t="s">
        <v>601</v>
      </c>
      <c r="G165" s="433">
        <f>IF(ISBLANK(D165),"",IF(E165="log",K165*R_Pa*(M165+273.15)*0.001,IF(E165="dimensionless",K165*R_Pa*(M165+273.15)*0.001,IF(E165="Pa-m3/mol",D165,IF(E165="log Pa-m3/mol",10^D165,IF(E165="mol/dm3-atm",I165*101325,IF(E165="atm-m3/mol",I165*101325,0)))))))</f>
        <v>17958456.157246526</v>
      </c>
      <c r="H165" s="433">
        <f>IF(ISBLANK(D165),"",1/G165)</f>
        <v>5.5684073911692231E-8</v>
      </c>
      <c r="I165" s="433">
        <f>IF(ISBLANK(D165),"",IF(E165="log",K165*R_atm*(M165+273.15)*0.001,IF(E165="dimensionless",K165*R_atm*(M165+273.15)*0.001,IF(E165="Pa-m3/mol",D165/101325,IF(E165="log Pa-m3/mol",(10^D165)/101325,IF(E165="mol/dm3-atm",1/(D165*1000),IF(E165="atm-m3/mol",D165,0)))))))</f>
        <v>177.23618215886103</v>
      </c>
      <c r="J165" s="433">
        <f>IF(ISBLANK(D165),"",1/I165)</f>
        <v>5.6421887891021944E-3</v>
      </c>
      <c r="K165" s="433">
        <f>IF(ISBLANK(D165),"",IF(E165="log",10^D165,IF(E165="dimensionless",D165,I165/(R_atm*(M165+273.15)*0.001))))</f>
        <v>7244.3596007499036</v>
      </c>
      <c r="L165" s="433">
        <f>IF(ISBLANK(D165),"",IF(E165="log",D165,IF(E165="dimensionless",LOG(D165),LOG(K165))))</f>
        <v>3.86</v>
      </c>
      <c r="M165" s="331">
        <v>25</v>
      </c>
      <c r="N165" s="434"/>
      <c r="O165" s="434" t="s">
        <v>525</v>
      </c>
      <c r="P165" s="100">
        <f>VLOOKUP(O165,References!$B$7:$F$252,5,FALSE)</f>
        <v>61</v>
      </c>
    </row>
    <row r="166" spans="1:16" x14ac:dyDescent="0.2">
      <c r="A166" s="904"/>
      <c r="B166" s="897"/>
      <c r="C166" s="905"/>
      <c r="D166" s="331">
        <v>0.92</v>
      </c>
      <c r="E166" s="331" t="s">
        <v>595</v>
      </c>
      <c r="F166" s="432" t="s">
        <v>27</v>
      </c>
      <c r="G166" s="433">
        <f>IF(ISBLANK(D166),"",IF(E166="log",K166*R_Pa*(M166+273.15)*0.001,IF(E166="dimensionless",K166*R_Pa*(M166+273.15)*0.001,IF(E166="Pa-m3/mol",D166,IF(E166="log Pa-m3/mol",10^D166,IF(E166="mol/dm3-atm",I166*101325,IF(E166="atm-m3/mol",I166*101325,0)))))))</f>
        <v>2280.6404672341978</v>
      </c>
      <c r="H166" s="433">
        <f>IF(ISBLANK(D166),"",1/G166)</f>
        <v>4.384733211424291E-4</v>
      </c>
      <c r="I166" s="433">
        <f>IF(ISBLANK(D166),"",IF(E166="log",K166*R_atm*(M166+273.15)*0.001,IF(E166="dimensionless",K166*R_atm*(M166+273.15)*0.001,IF(E166="Pa-m3/mol",D166/101325,IF(E166="log Pa-m3/mol",(10^D166)/101325,IF(E166="mol/dm3-atm",1/(D166*1000),IF(E166="atm-m3/mol",D166,0)))))))</f>
        <v>2.2508171401275163E-2</v>
      </c>
      <c r="J166" s="433">
        <f>IF(ISBLANK(D166),"",1/I166)</f>
        <v>44.428309264756471</v>
      </c>
      <c r="K166" s="433">
        <f>IF(ISBLANK(D166),"",IF(E166="log",10^D166,IF(E166="dimensionless",D166,I166/(R_atm*(M166+273.15)*0.001))))</f>
        <v>0.92</v>
      </c>
      <c r="L166" s="433">
        <f>IF(ISBLANK(D166),"",IF(E166="log",D166,IF(E166="dimensionless",LOG(D166),LOG(K166))))</f>
        <v>-3.6212172654444715E-2</v>
      </c>
      <c r="M166" s="331">
        <v>25</v>
      </c>
      <c r="N166" s="432">
        <v>6.24</v>
      </c>
      <c r="O166" s="434" t="s">
        <v>609</v>
      </c>
      <c r="P166" s="100">
        <f>VLOOKUP(O166,References!$B$7:$F$252,5,FALSE)</f>
        <v>4</v>
      </c>
    </row>
    <row r="167" spans="1:16" ht="16" x14ac:dyDescent="0.2">
      <c r="A167" s="899"/>
      <c r="B167" s="901"/>
      <c r="C167" s="903"/>
      <c r="D167" s="686">
        <v>1.26E-9</v>
      </c>
      <c r="E167" s="588" t="s">
        <v>594</v>
      </c>
      <c r="F167" s="686" t="s">
        <v>515</v>
      </c>
      <c r="G167" s="469">
        <f t="shared" si="98"/>
        <v>1.2766949999999999E-4</v>
      </c>
      <c r="H167" s="469">
        <f t="shared" si="95"/>
        <v>7832.7243390159756</v>
      </c>
      <c r="I167" s="469">
        <f t="shared" si="99"/>
        <v>1.26E-9</v>
      </c>
      <c r="J167" s="469">
        <f t="shared" si="96"/>
        <v>793650793.65079367</v>
      </c>
      <c r="K167" s="469">
        <f t="shared" si="100"/>
        <v>5.1501296099705705E-8</v>
      </c>
      <c r="L167" s="469">
        <f t="shared" si="97"/>
        <v>-7.2881818412138148</v>
      </c>
      <c r="M167" s="588">
        <v>25</v>
      </c>
      <c r="N167" s="678"/>
      <c r="O167" s="678" t="s">
        <v>511</v>
      </c>
      <c r="P167" s="122">
        <f>VLOOKUP(O167,References!$B$7:$F$252,5,FALSE)</f>
        <v>36</v>
      </c>
    </row>
    <row r="168" spans="1:16" ht="18" customHeight="1" x14ac:dyDescent="0.2">
      <c r="A168" s="904" t="s">
        <v>305</v>
      </c>
      <c r="B168" s="897" t="s">
        <v>306</v>
      </c>
      <c r="C168" s="905" t="s">
        <v>308</v>
      </c>
      <c r="D168" s="331">
        <v>-1.2</v>
      </c>
      <c r="E168" s="331" t="s">
        <v>599</v>
      </c>
      <c r="F168" s="432" t="s">
        <v>522</v>
      </c>
      <c r="G168" s="433">
        <f t="shared" ref="G168:G178" si="101">IF(ISBLANK(D168),"",IF(E168="log",K168*R_Pa*(M168+273.15)*0.001,IF(E168="dimensionless",K168*R_Pa*(M168+273.15)*0.001,IF(E168="Pa-m3/mol",D168,IF(E168="log Pa-m3/mol",10^D168,IF(E168="mol/dm3-atm",I168*101325,IF(E168="atm-m3/mol",I168*101325,0)))))))</f>
        <v>156.41161444784305</v>
      </c>
      <c r="H168" s="433">
        <f t="shared" si="95"/>
        <v>6.3933871121409566E-3</v>
      </c>
      <c r="I168" s="433">
        <f t="shared" ref="I168:I178" si="102">IF(ISBLANK(D168),"",IF(E168="log",K168*R_atm*(M168+273.15)*0.001,IF(E168="dimensionless",K168*R_atm*(M168+273.15)*0.001,IF(E168="Pa-m3/mol",D168/101325,IF(E168="log Pa-m3/mol",(10^D168)/101325,IF(E168="mol/dm3-atm",1/(D168*1000),IF(E168="atm-m3/mol",D168,0)))))))</f>
        <v>1.5436626148319138E-3</v>
      </c>
      <c r="J168" s="433">
        <f t="shared" si="96"/>
        <v>647.80994913767984</v>
      </c>
      <c r="K168" s="433">
        <f t="shared" ref="K168:K178" si="103">IF(ISBLANK(D168),"",IF(E168="log",10^D168,IF(E168="dimensionless",D168,I168/(R_atm*(M168+273.15)*0.001))))</f>
        <v>6.3095734448019317E-2</v>
      </c>
      <c r="L168" s="433">
        <f t="shared" si="97"/>
        <v>-1.2</v>
      </c>
      <c r="M168" s="331">
        <v>25</v>
      </c>
      <c r="N168" s="434"/>
      <c r="O168" s="434" t="s">
        <v>570</v>
      </c>
      <c r="P168" s="100">
        <f>VLOOKUP(O168,References!$B$7:$F$252,5,FALSE)</f>
        <v>9</v>
      </c>
    </row>
    <row r="169" spans="1:16" x14ac:dyDescent="0.2">
      <c r="A169" s="904"/>
      <c r="B169" s="897"/>
      <c r="C169" s="905"/>
      <c r="D169" s="331">
        <v>-1.27</v>
      </c>
      <c r="E169" s="331" t="s">
        <v>599</v>
      </c>
      <c r="F169" s="432" t="s">
        <v>571</v>
      </c>
      <c r="G169" s="433">
        <f t="shared" si="101"/>
        <v>133.12787467320359</v>
      </c>
      <c r="H169" s="433">
        <f t="shared" si="95"/>
        <v>7.5115748858363115E-3</v>
      </c>
      <c r="I169" s="433">
        <f t="shared" si="102"/>
        <v>1.3138699696343854E-3</v>
      </c>
      <c r="J169" s="433">
        <f t="shared" si="96"/>
        <v>761.11032530736134</v>
      </c>
      <c r="K169" s="433">
        <f t="shared" si="103"/>
        <v>5.3703179637025256E-2</v>
      </c>
      <c r="L169" s="433">
        <f t="shared" si="97"/>
        <v>-1.27</v>
      </c>
      <c r="M169" s="331">
        <v>25</v>
      </c>
      <c r="N169" s="434"/>
      <c r="O169" s="434" t="s">
        <v>570</v>
      </c>
      <c r="P169" s="100">
        <f>VLOOKUP(O169,References!$B$7:$F$252,5,FALSE)</f>
        <v>9</v>
      </c>
    </row>
    <row r="170" spans="1:16" x14ac:dyDescent="0.2">
      <c r="A170" s="904"/>
      <c r="B170" s="897"/>
      <c r="C170" s="905"/>
      <c r="D170" s="700">
        <v>2.3416646138668349</v>
      </c>
      <c r="E170" s="331" t="s">
        <v>599</v>
      </c>
      <c r="F170" s="432" t="s">
        <v>513</v>
      </c>
      <c r="G170" s="433">
        <f t="shared" si="101"/>
        <v>544419.42510706501</v>
      </c>
      <c r="H170" s="433">
        <f t="shared" si="95"/>
        <v>1.8368191028513373E-6</v>
      </c>
      <c r="I170" s="433">
        <f t="shared" si="102"/>
        <v>5.3730019749032021</v>
      </c>
      <c r="J170" s="433">
        <f t="shared" si="96"/>
        <v>0.18611569559641108</v>
      </c>
      <c r="K170" s="433">
        <f t="shared" si="103"/>
        <v>219.61632194745502</v>
      </c>
      <c r="L170" s="433">
        <f t="shared" si="97"/>
        <v>2.3416646138668349</v>
      </c>
      <c r="M170" s="348">
        <v>25</v>
      </c>
      <c r="N170" s="434"/>
      <c r="O170" s="434" t="s">
        <v>600</v>
      </c>
      <c r="P170" s="100">
        <f>VLOOKUP(O170,References!$B$7:$F$252,5,FALSE)</f>
        <v>143</v>
      </c>
    </row>
    <row r="171" spans="1:16" x14ac:dyDescent="0.2">
      <c r="A171" s="904"/>
      <c r="B171" s="897"/>
      <c r="C171" s="905"/>
      <c r="D171" s="700">
        <v>0.465889140887839</v>
      </c>
      <c r="E171" s="331" t="s">
        <v>599</v>
      </c>
      <c r="F171" s="432" t="s">
        <v>571</v>
      </c>
      <c r="G171" s="433">
        <f t="shared" si="101"/>
        <v>7246.997969457324</v>
      </c>
      <c r="H171" s="433">
        <f t="shared" si="95"/>
        <v>1.3798817168357547E-4</v>
      </c>
      <c r="I171" s="433">
        <f t="shared" si="102"/>
        <v>7.1522309099011611E-2</v>
      </c>
      <c r="J171" s="433">
        <f t="shared" si="96"/>
        <v>13.98165149583823</v>
      </c>
      <c r="K171" s="433">
        <f t="shared" si="103"/>
        <v>2.9234060465419618</v>
      </c>
      <c r="L171" s="433">
        <f t="shared" si="97"/>
        <v>0.465889140887839</v>
      </c>
      <c r="M171" s="348">
        <v>25</v>
      </c>
      <c r="N171" s="434"/>
      <c r="O171" s="434" t="s">
        <v>600</v>
      </c>
      <c r="P171" s="100">
        <f>VLOOKUP(O171,References!$B$7:$F$252,5,FALSE)</f>
        <v>143</v>
      </c>
    </row>
    <row r="172" spans="1:16" x14ac:dyDescent="0.2">
      <c r="A172" s="904"/>
      <c r="B172" s="897"/>
      <c r="C172" s="905"/>
      <c r="D172" s="700">
        <v>1.6292505638233887</v>
      </c>
      <c r="E172" s="331" t="s">
        <v>599</v>
      </c>
      <c r="F172" s="432" t="s">
        <v>522</v>
      </c>
      <c r="G172" s="433">
        <f t="shared" si="101"/>
        <v>105564.90533061765</v>
      </c>
      <c r="H172" s="433">
        <f t="shared" si="95"/>
        <v>9.4728451360621244E-6</v>
      </c>
      <c r="I172" s="433">
        <f t="shared" si="102"/>
        <v>1.0418446121946019</v>
      </c>
      <c r="J172" s="433">
        <f t="shared" si="96"/>
        <v>0.95983603341149115</v>
      </c>
      <c r="K172" s="433">
        <f t="shared" si="103"/>
        <v>42.584403065489887</v>
      </c>
      <c r="L172" s="433">
        <f t="shared" si="97"/>
        <v>1.6292505638233887</v>
      </c>
      <c r="M172" s="348">
        <v>25</v>
      </c>
      <c r="N172" s="434"/>
      <c r="O172" s="434" t="s">
        <v>600</v>
      </c>
      <c r="P172" s="100">
        <f>VLOOKUP(O172,References!$B$7:$F$252,5,FALSE)</f>
        <v>143</v>
      </c>
    </row>
    <row r="173" spans="1:16" x14ac:dyDescent="0.2">
      <c r="A173" s="904"/>
      <c r="B173" s="897"/>
      <c r="C173" s="905"/>
      <c r="D173" s="700">
        <v>-0.96585499999999935</v>
      </c>
      <c r="E173" s="331" t="s">
        <v>599</v>
      </c>
      <c r="F173" s="432" t="s">
        <v>514</v>
      </c>
      <c r="G173" s="433">
        <f t="shared" si="101"/>
        <v>268.17235061707402</v>
      </c>
      <c r="H173" s="433">
        <f t="shared" si="95"/>
        <v>3.7289452014682527E-3</v>
      </c>
      <c r="I173" s="433">
        <f t="shared" si="102"/>
        <v>2.6466553231391564E-3</v>
      </c>
      <c r="J173" s="433">
        <f t="shared" si="96"/>
        <v>377.83537253876932</v>
      </c>
      <c r="K173" s="433">
        <f t="shared" si="103"/>
        <v>0.10817950751654919</v>
      </c>
      <c r="L173" s="433">
        <f t="shared" si="97"/>
        <v>-0.96585499999999935</v>
      </c>
      <c r="M173" s="348">
        <v>25</v>
      </c>
      <c r="N173" s="434"/>
      <c r="O173" s="434" t="s">
        <v>600</v>
      </c>
      <c r="P173" s="100">
        <f>VLOOKUP(O173,References!$B$7:$F$252,5,FALSE)</f>
        <v>143</v>
      </c>
    </row>
    <row r="174" spans="1:16" ht="16" x14ac:dyDescent="0.2">
      <c r="A174" s="904"/>
      <c r="B174" s="897"/>
      <c r="C174" s="905"/>
      <c r="D174" s="432">
        <v>-0.36</v>
      </c>
      <c r="E174" s="348" t="s">
        <v>599</v>
      </c>
      <c r="F174" s="432" t="s">
        <v>522</v>
      </c>
      <c r="G174" s="433">
        <f>IF(ISBLANK(D174),"",IF(E174="log",K174*R_Pa*(M174+273.15)*0.001,IF(E174="dimensionless",K174*R_Pa*(M174+273.15)*0.001,IF(E174="Pa-m3/mol",D174,IF(E174="log Pa-m3/mol",10^D174,IF(E174="mol/dm3-atm",I174*101325,IF(E174="atm-m3/mol",I174*101325,0)))))))</f>
        <v>1082.1039908644962</v>
      </c>
      <c r="H174" s="433">
        <f>IF(ISBLANK(D174),"",1/G174)</f>
        <v>9.2412560016629918E-4</v>
      </c>
      <c r="I174" s="433">
        <f>IF(ISBLANK(D174),"",IF(E174="log",K174*R_atm*(M174+273.15)*0.001,IF(E174="dimensionless",K174*R_atm*(M174+273.15)*0.001,IF(E174="Pa-m3/mol",D174/101325,IF(E174="log Pa-m3/mol",(10^D174)/101325,IF(E174="mol/dm3-atm",1/(D174*1000),IF(E174="atm-m3/mol",D174,0)))))))</f>
        <v>1.0679536055904272E-2</v>
      </c>
      <c r="J174" s="433">
        <f>IF(ISBLANK(D174),"",1/I174)</f>
        <v>93.637026436849894</v>
      </c>
      <c r="K174" s="433">
        <f>IF(ISBLANK(D174),"",IF(E174="log",10^D174,IF(E174="dimensionless",D174,I174/(R_atm*(M174+273.15)*0.001))))</f>
        <v>0.43651583224016594</v>
      </c>
      <c r="L174" s="433">
        <f>IF(ISBLANK(D174),"",IF(E174="log",D174,IF(E174="dimensionless",LOG(D174),LOG(K174))))</f>
        <v>-0.36</v>
      </c>
      <c r="M174" s="685">
        <v>25</v>
      </c>
      <c r="N174" s="434"/>
      <c r="O174" s="434" t="s">
        <v>523</v>
      </c>
      <c r="P174" s="100">
        <f>VLOOKUP(O174,References!$B$7:$F$252,5,FALSE)</f>
        <v>127</v>
      </c>
    </row>
    <row r="175" spans="1:16" x14ac:dyDescent="0.2">
      <c r="A175" s="904"/>
      <c r="B175" s="897"/>
      <c r="C175" s="905"/>
      <c r="D175" s="331">
        <v>47268376</v>
      </c>
      <c r="E175" s="331" t="s">
        <v>597</v>
      </c>
      <c r="F175" s="432" t="s">
        <v>610</v>
      </c>
      <c r="G175" s="433">
        <f>IF(ISBLANK(D175),"",IF(E175="log",K175*R_Pa*(M175+273.15)*0.001,IF(E175="dimensionless",K175*R_Pa*(M175+273.15)*0.001,IF(E175="Pa-m3/mol",D175,IF(E175="log Pa-m3/mol",10^D175,IF(E175="mol/dm3-atm",I175*101325,IF(E175="atm-m3/mol",I175*101325,0)))))))</f>
        <v>47268376</v>
      </c>
      <c r="H175" s="433">
        <f>IF(ISBLANK(D175),"",1/G175)</f>
        <v>2.115579346326601E-8</v>
      </c>
      <c r="I175" s="433">
        <f>IF(ISBLANK(D175),"",IF(E175="log",K175*R_atm*(M175+273.15)*0.001,IF(E175="dimensionless",K175*R_atm*(M175+273.15)*0.001,IF(E175="Pa-m3/mol",D175/101325,IF(E175="log Pa-m3/mol",(10^D175)/101325,IF(E175="mol/dm3-atm",1/(D175*1000),IF(E175="atm-m3/mol",D175,0)))))))</f>
        <v>466.50260054280778</v>
      </c>
      <c r="J175" s="433">
        <f>IF(ISBLANK(D175),"",1/I175)</f>
        <v>2.1436107726654288E-3</v>
      </c>
      <c r="K175" s="433">
        <f>IF(ISBLANK(D175),"",IF(E175="log",10^D175,IF(E175="dimensionless",D175,I175/(R_atm*(M175+273.15)*0.001))))</f>
        <v>19067.848064950696</v>
      </c>
      <c r="L175" s="433">
        <f>IF(ISBLANK(D175),"",IF(E175="log",D175,IF(E175="dimensionless",LOG(D175),LOG(K175))))</f>
        <v>4.2803016827548781</v>
      </c>
      <c r="M175" s="685">
        <v>25</v>
      </c>
      <c r="N175" s="434"/>
      <c r="O175" s="434" t="s">
        <v>611</v>
      </c>
      <c r="P175" s="100">
        <f>VLOOKUP(O175,References!$B$7:$F$252,5,FALSE)</f>
        <v>136</v>
      </c>
    </row>
    <row r="176" spans="1:16" x14ac:dyDescent="0.2">
      <c r="A176" s="904"/>
      <c r="B176" s="897"/>
      <c r="C176" s="905"/>
      <c r="D176" s="331">
        <v>4.21</v>
      </c>
      <c r="E176" s="331" t="s">
        <v>599</v>
      </c>
      <c r="F176" s="432" t="s">
        <v>601</v>
      </c>
      <c r="G176" s="433">
        <f>IF(ISBLANK(D176),"",IF(E176="log",K176*R_Pa*(M176+273.15)*0.001,IF(E176="dimensionless",K176*R_Pa*(M176+273.15)*0.001,IF(E176="Pa-m3/mol",D176,IF(E176="log Pa-m3/mol",10^D176,IF(E176="mol/dm3-atm",I176*101325,IF(E176="atm-m3/mol",I176*101325,0)))))))</f>
        <v>40203975.415280566</v>
      </c>
      <c r="H176" s="433">
        <f>IF(ISBLANK(D176),"",1/G176)</f>
        <v>2.4873162160474411E-8</v>
      </c>
      <c r="I176" s="433">
        <f>IF(ISBLANK(D176),"",IF(E176="log",K176*R_atm*(M176+273.15)*0.001,IF(E176="dimensionless",K176*R_atm*(M176+273.15)*0.001,IF(E176="Pa-m3/mol",D176/101325,IF(E176="log Pa-m3/mol",(10^D176)/101325,IF(E176="mol/dm3-atm",1/(D176*1000),IF(E176="atm-m3/mol",D176,0)))))))</f>
        <v>396.782387518191</v>
      </c>
      <c r="J176" s="433">
        <f>IF(ISBLANK(D176),"",1/I176)</f>
        <v>2.5202731559100609E-3</v>
      </c>
      <c r="K176" s="433">
        <f>IF(ISBLANK(D176),"",IF(E176="log",10^D176,IF(E176="dimensionless",D176,I176/(R_atm*(M176+273.15)*0.001))))</f>
        <v>16218.100973589309</v>
      </c>
      <c r="L176" s="433">
        <f>IF(ISBLANK(D176),"",IF(E176="log",D176,IF(E176="dimensionless",LOG(D176),LOG(K176))))</f>
        <v>4.21</v>
      </c>
      <c r="M176" s="331">
        <v>25</v>
      </c>
      <c r="N176" s="434"/>
      <c r="O176" s="434" t="s">
        <v>525</v>
      </c>
      <c r="P176" s="100">
        <f>VLOOKUP(O176,References!$B$7:$F$252,5,FALSE)</f>
        <v>61</v>
      </c>
    </row>
    <row r="177" spans="1:16" x14ac:dyDescent="0.2">
      <c r="A177" s="904"/>
      <c r="B177" s="897"/>
      <c r="C177" s="905"/>
      <c r="D177" s="331">
        <v>0.43</v>
      </c>
      <c r="E177" s="331" t="s">
        <v>595</v>
      </c>
      <c r="F177" s="432" t="s">
        <v>27</v>
      </c>
      <c r="G177" s="433">
        <f>IF(ISBLANK(D177),"",IF(E177="log",K177*R_Pa*(M177+273.15)*0.001,IF(E177="dimensionless",K177*R_Pa*(M177+273.15)*0.001,IF(E177="Pa-m3/mol",D177,IF(E177="log Pa-m3/mol",10^D177,IF(E177="mol/dm3-atm",I177*101325,IF(E177="atm-m3/mol",I177*101325,0)))))))</f>
        <v>1065.9515227290271</v>
      </c>
      <c r="H177" s="433">
        <f>IF(ISBLANK(D177),"",1/G177)</f>
        <v>9.381289661651972E-4</v>
      </c>
      <c r="I177" s="433">
        <f>IF(ISBLANK(D177),"",IF(E177="log",K177*R_atm*(M177+273.15)*0.001,IF(E177="dimensionless",K177*R_atm*(M177+273.15)*0.001,IF(E177="Pa-m3/mol",D177/101325,IF(E177="log Pa-m3/mol",(10^D177)/101325,IF(E177="mol/dm3-atm",1/(D177*1000),IF(E177="atm-m3/mol",D177,0)))))))</f>
        <v>1.0520123589726437E-2</v>
      </c>
      <c r="J177" s="433">
        <f>IF(ISBLANK(D177),"",1/I177)</f>
        <v>95.055917496688252</v>
      </c>
      <c r="K177" s="433">
        <f>IF(ISBLANK(D177),"",IF(E177="log",10^D177,IF(E177="dimensionless",D177,I177/(R_atm*(M177+273.15)*0.001))))</f>
        <v>0.43</v>
      </c>
      <c r="L177" s="433">
        <f>IF(ISBLANK(D177),"",IF(E177="log",D177,IF(E177="dimensionless",LOG(D177),LOG(K177))))</f>
        <v>-0.36653154442041347</v>
      </c>
      <c r="M177" s="331">
        <v>25</v>
      </c>
      <c r="N177" s="432">
        <v>6.33</v>
      </c>
      <c r="O177" s="434" t="s">
        <v>609</v>
      </c>
      <c r="P177" s="100">
        <f>VLOOKUP(O177,References!$B$7:$F$252,5,FALSE)</f>
        <v>4</v>
      </c>
    </row>
    <row r="178" spans="1:16" ht="16" x14ac:dyDescent="0.2">
      <c r="A178" s="904"/>
      <c r="B178" s="897"/>
      <c r="C178" s="905"/>
      <c r="D178" s="589">
        <v>1.5999999999999999E-10</v>
      </c>
      <c r="E178" s="588" t="s">
        <v>594</v>
      </c>
      <c r="F178" s="589" t="s">
        <v>515</v>
      </c>
      <c r="G178" s="469">
        <f t="shared" si="101"/>
        <v>1.6212E-5</v>
      </c>
      <c r="H178" s="469">
        <f t="shared" si="95"/>
        <v>61682.704169750803</v>
      </c>
      <c r="I178" s="469">
        <f t="shared" si="102"/>
        <v>1.5999999999999999E-10</v>
      </c>
      <c r="J178" s="469">
        <f t="shared" si="96"/>
        <v>6250000000</v>
      </c>
      <c r="K178" s="469">
        <f t="shared" si="103"/>
        <v>6.5398471237721528E-9</v>
      </c>
      <c r="L178" s="469">
        <f t="shared" si="97"/>
        <v>-8.1844324036754532</v>
      </c>
      <c r="M178" s="588">
        <v>25</v>
      </c>
      <c r="N178" s="701"/>
      <c r="O178" s="701" t="s">
        <v>511</v>
      </c>
      <c r="P178" s="394">
        <f>VLOOKUP(O178,References!$B$7:$F$252,5,FALSE)</f>
        <v>36</v>
      </c>
    </row>
    <row r="179" spans="1:16" ht="32" x14ac:dyDescent="0.2">
      <c r="A179" s="157" t="s">
        <v>315</v>
      </c>
      <c r="B179" s="152" t="s">
        <v>316</v>
      </c>
      <c r="C179" s="153" t="s">
        <v>317</v>
      </c>
      <c r="D179" s="702">
        <v>2.6899999999999999E-8</v>
      </c>
      <c r="E179" s="163" t="s">
        <v>594</v>
      </c>
      <c r="F179" s="119" t="s">
        <v>515</v>
      </c>
      <c r="G179" s="525">
        <f t="shared" ref="G179:G180" si="104">IF(ISBLANK(D179),"",IF(E179="log",K179*R_Pa*(M179+273.15)*0.001,IF(E179="dimensionless",K179*R_Pa*(M179+273.15)*0.001,IF(E179="Pa-m3/mol",D179,IF(E179="log Pa-m3/mol",10^D179,IF(E179="mol/dm3-atm",I179*101325,IF(E179="atm-m3/mol",I179*101325,0)))))))</f>
        <v>2.7256425000000001E-3</v>
      </c>
      <c r="H179" s="525">
        <f t="shared" ref="H179:H180" si="105">IF(ISBLANK(D179),"",1/G179)</f>
        <v>366.8859727568821</v>
      </c>
      <c r="I179" s="525">
        <f t="shared" ref="I179:I180" si="106">IF(ISBLANK(D179),"",IF(E179="log",K179*R_atm*(M179+273.15)*0.001,IF(E179="dimensionless",K179*R_atm*(M179+273.15)*0.001,IF(E179="Pa-m3/mol",D179/101325,IF(E179="log Pa-m3/mol",(10^D179)/101325,IF(E179="mol/dm3-atm",1/(D179*1000),IF(E179="atm-m3/mol",D179,0)))))))</f>
        <v>2.6899999999999999E-8</v>
      </c>
      <c r="J179" s="525">
        <f t="shared" ref="J179:J180" si="107">IF(ISBLANK(D179),"",1/I179)</f>
        <v>37174721.18959108</v>
      </c>
      <c r="K179" s="525">
        <f t="shared" ref="K179:K180" si="108">IF(ISBLANK(D179),"",IF(E179="log",10^D179,IF(E179="dimensionless",D179,I179/(R_atm*(M179+273.15)*0.001))))</f>
        <v>1.0995117976841933E-6</v>
      </c>
      <c r="L179" s="525">
        <f t="shared" ref="L179:L180" si="109">IF(ISBLANK(D179),"",IF(E179="log",D179,IF(E179="dimensionless",LOG(D179),LOG(K179))))</f>
        <v>-5.9588001063289697</v>
      </c>
      <c r="M179" s="703">
        <v>25</v>
      </c>
      <c r="N179" s="704"/>
      <c r="O179" s="704" t="s">
        <v>511</v>
      </c>
      <c r="P179" s="235">
        <f>VLOOKUP(O179,References!$B$7:$F$252,5,FALSE)</f>
        <v>36</v>
      </c>
    </row>
    <row r="180" spans="1:16" ht="33" thickBot="1" x14ac:dyDescent="0.25">
      <c r="A180" s="187" t="s">
        <v>321</v>
      </c>
      <c r="B180" s="188" t="s">
        <v>322</v>
      </c>
      <c r="C180" s="146" t="s">
        <v>323</v>
      </c>
      <c r="D180" s="705">
        <v>9.7700000000000008E-9</v>
      </c>
      <c r="E180" s="348" t="s">
        <v>594</v>
      </c>
      <c r="F180" s="331" t="s">
        <v>515</v>
      </c>
      <c r="G180" s="433">
        <f t="shared" si="104"/>
        <v>9.8994524999999997E-4</v>
      </c>
      <c r="H180" s="433">
        <f t="shared" si="105"/>
        <v>1010.15687483727</v>
      </c>
      <c r="I180" s="433">
        <f t="shared" si="106"/>
        <v>9.7700000000000008E-9</v>
      </c>
      <c r="J180" s="433">
        <f t="shared" si="107"/>
        <v>102354145.34288637</v>
      </c>
      <c r="K180" s="433">
        <f t="shared" si="108"/>
        <v>3.9933941499533716E-7</v>
      </c>
      <c r="L180" s="433">
        <f t="shared" si="109"/>
        <v>-6.3986578226126047</v>
      </c>
      <c r="M180" s="685">
        <v>25</v>
      </c>
      <c r="N180" s="706"/>
      <c r="O180" s="706" t="s">
        <v>511</v>
      </c>
      <c r="P180" s="393">
        <f>VLOOKUP(O180,References!$B$7:$F$252,5,FALSE)</f>
        <v>36</v>
      </c>
    </row>
    <row r="181" spans="1:16" ht="16" thickBot="1" x14ac:dyDescent="0.25">
      <c r="A181" s="367" t="s">
        <v>326</v>
      </c>
      <c r="B181" s="368" t="s">
        <v>327</v>
      </c>
      <c r="C181" s="369"/>
      <c r="D181" s="369"/>
      <c r="E181" s="369"/>
      <c r="F181" s="369"/>
      <c r="G181" s="594"/>
      <c r="H181" s="594"/>
      <c r="I181" s="594"/>
      <c r="J181" s="594"/>
      <c r="K181" s="594"/>
      <c r="L181" s="370"/>
      <c r="M181" s="369"/>
      <c r="N181" s="369"/>
      <c r="O181" s="369"/>
      <c r="P181" s="371"/>
    </row>
    <row r="182" spans="1:16" customFormat="1" ht="16" x14ac:dyDescent="0.2">
      <c r="A182" s="829" t="s">
        <v>328</v>
      </c>
      <c r="B182" s="831" t="s">
        <v>329</v>
      </c>
      <c r="C182" s="831" t="s">
        <v>330</v>
      </c>
      <c r="D182" s="707">
        <v>1.35E-10</v>
      </c>
      <c r="E182" s="135" t="s">
        <v>594</v>
      </c>
      <c r="F182" s="156" t="s">
        <v>515</v>
      </c>
      <c r="G182" s="433">
        <f t="shared" ref="G182:G183" si="110">IF(ISBLANK(D182),"",IF(E182="log",K182*R_Pa*(M182+273.15)*0.001,IF(E182="dimensionless",K182*R_Pa*(M182+273.15)*0.001,IF(E182="Pa-m3/mol",D182,IF(E182="log Pa-m3/mol",10^D182,IF(E182="mol/dm3-atm",I182*101325,IF(E182="atm-m3/mol",I182*101325,0)))))))</f>
        <v>1.3678875E-5</v>
      </c>
      <c r="H182" s="433">
        <f t="shared" ref="H182:H183" si="111">IF(ISBLANK(D182),"",1/G182)</f>
        <v>73105.427164149092</v>
      </c>
      <c r="I182" s="433">
        <f t="shared" ref="I182:I183" si="112">IF(ISBLANK(D182),"",IF(E182="log",K182*R_atm*(M182+273.15)*0.001,IF(E182="dimensionless",K182*R_atm*(M182+273.15)*0.001,IF(E182="Pa-m3/mol",D182/101325,IF(E182="log Pa-m3/mol",(10^D182)/101325,IF(E182="mol/dm3-atm",1/(D182*1000),IF(E182="atm-m3/mol",D182,0)))))))</f>
        <v>1.35E-10</v>
      </c>
      <c r="J182" s="433">
        <f t="shared" ref="J182:J183" si="113">IF(ISBLANK(D182),"",1/I182)</f>
        <v>7407407407.4074078</v>
      </c>
      <c r="K182" s="433">
        <f t="shared" ref="K182:K183" si="114">IF(ISBLANK(D182),"",IF(E182="log",10^D182,IF(E182="dimensionless",D182,I182/(R_atm*(M182+273.15)*0.001))))</f>
        <v>5.5179960106827544E-9</v>
      </c>
      <c r="L182" s="433">
        <f t="shared" ref="L182:L183" si="115">IF(ISBLANK(D182),"",IF(E182="log",D182,IF(E182="dimensionless",LOG(D182),LOG(K182))))</f>
        <v>-8.2582186178363717</v>
      </c>
      <c r="M182" s="348">
        <v>25</v>
      </c>
      <c r="N182" s="135"/>
      <c r="O182" s="708" t="s">
        <v>511</v>
      </c>
      <c r="P182" s="99">
        <f>VLOOKUP(O182,References!$B$7:$F$252,5,FALSE)</f>
        <v>36</v>
      </c>
    </row>
    <row r="183" spans="1:16" customFormat="1" ht="16" x14ac:dyDescent="0.2">
      <c r="A183" s="847"/>
      <c r="B183" s="834"/>
      <c r="C183" s="834"/>
      <c r="D183" s="239">
        <v>-4.22</v>
      </c>
      <c r="E183" s="59" t="s">
        <v>599</v>
      </c>
      <c r="F183" s="239" t="s">
        <v>522</v>
      </c>
      <c r="G183" s="469">
        <f t="shared" si="110"/>
        <v>0.14937193216533337</v>
      </c>
      <c r="H183" s="469">
        <f t="shared" si="111"/>
        <v>6.6946981638634959</v>
      </c>
      <c r="I183" s="469">
        <f t="shared" si="112"/>
        <v>1.4741863524829403E-6</v>
      </c>
      <c r="J183" s="469">
        <f t="shared" si="113"/>
        <v>678340.29145346617</v>
      </c>
      <c r="K183" s="469">
        <f t="shared" si="114"/>
        <v>6.0255958607435738E-5</v>
      </c>
      <c r="L183" s="469">
        <f t="shared" si="115"/>
        <v>-4.22</v>
      </c>
      <c r="M183" s="709">
        <v>25</v>
      </c>
      <c r="N183" s="59"/>
      <c r="O183" s="598" t="s">
        <v>523</v>
      </c>
      <c r="P183" s="122">
        <f>VLOOKUP(O183,References!$B$7:$F$252,5,FALSE)</f>
        <v>127</v>
      </c>
    </row>
    <row r="184" spans="1:16" ht="16" x14ac:dyDescent="0.2">
      <c r="A184" s="928" t="s">
        <v>332</v>
      </c>
      <c r="B184" s="905" t="s">
        <v>333</v>
      </c>
      <c r="C184" s="905" t="s">
        <v>335</v>
      </c>
      <c r="D184" s="432">
        <v>-2.99</v>
      </c>
      <c r="E184" s="348" t="s">
        <v>599</v>
      </c>
      <c r="F184" s="432" t="s">
        <v>522</v>
      </c>
      <c r="G184" s="433">
        <f>IF(ISBLANK(D184),"",IF(E184="log",K184*R_Pa*(M184+273.15)*0.001,IF(E184="dimensionless",K184*R_Pa*(M184+273.15)*0.001,IF(E184="Pa-m3/mol",D184,IF(E184="log Pa-m3/mol",10^D184,IF(E184="mol/dm3-atm",I184*101325,IF(E184="atm-m3/mol",I184*101325,0)))))))</f>
        <v>2.5366993565572358</v>
      </c>
      <c r="H184" s="433">
        <f t="shared" ref="H184:H207" si="116">IF(ISBLANK(D184),"",1/G184)</f>
        <v>0.39421305383117322</v>
      </c>
      <c r="I184" s="433">
        <f>IF(ISBLANK(D184),"",IF(E184="log",K184*R_atm*(M184+273.15)*0.001,IF(E184="dimensionless",K184*R_atm*(M184+273.15)*0.001,IF(E184="Pa-m3/mol",D184/101325,IF(E184="log Pa-m3/mol",(10^D184)/101325,IF(E184="mol/dm3-atm",1/(D184*1000),IF(E184="atm-m3/mol",D184,0)))))))</f>
        <v>2.5035276156498849E-5</v>
      </c>
      <c r="J184" s="433">
        <f t="shared" ref="J184:J207" si="117">IF(ISBLANK(D184),"",1/I184)</f>
        <v>39943.637679443462</v>
      </c>
      <c r="K184" s="433">
        <f>IF(ISBLANK(D184),"",IF(E184="log",10^D184,IF(E184="dimensionless",D184,I184/(R_atm*(M184+273.15)*0.001))))</f>
        <v>1.0232929922807533E-3</v>
      </c>
      <c r="L184" s="433">
        <f t="shared" ref="L184:L207" si="118">IF(ISBLANK(D184),"",IF(E184="log",D184,IF(E184="dimensionless",LOG(D184),LOG(K184))))</f>
        <v>-2.99</v>
      </c>
      <c r="M184" s="685">
        <v>25</v>
      </c>
      <c r="N184" s="434"/>
      <c r="O184" s="434" t="s">
        <v>523</v>
      </c>
      <c r="P184" s="100">
        <f>VLOOKUP(O184,References!$B$7:$F$252,5,FALSE)</f>
        <v>127</v>
      </c>
    </row>
    <row r="185" spans="1:16" ht="16" x14ac:dyDescent="0.2">
      <c r="A185" s="927"/>
      <c r="B185" s="903"/>
      <c r="C185" s="903"/>
      <c r="D185" s="686">
        <v>6.0400000000000006E-11</v>
      </c>
      <c r="E185" s="588" t="s">
        <v>594</v>
      </c>
      <c r="F185" s="686" t="s">
        <v>515</v>
      </c>
      <c r="G185" s="469">
        <f>IF(ISBLANK(D185),"",IF(E185="log",K185*R_Pa*(M185+273.15)*0.001,IF(E185="dimensionless",K185*R_Pa*(M185+273.15)*0.001,IF(E185="Pa-m3/mol",D185,IF(E185="log Pa-m3/mol",10^D185,IF(E185="mol/dm3-atm",I185*101325,IF(E185="atm-m3/mol",I185*101325,0)))))))</f>
        <v>6.1200300000000003E-6</v>
      </c>
      <c r="H185" s="469">
        <f t="shared" ref="H185" si="119">IF(ISBLANK(D185),"",1/G185)</f>
        <v>163397.89184039948</v>
      </c>
      <c r="I185" s="469">
        <f>IF(ISBLANK(D185),"",IF(E185="log",K185*R_atm*(M185+273.15)*0.001,IF(E185="dimensionless",K185*R_atm*(M185+273.15)*0.001,IF(E185="Pa-m3/mol",D185/101325,IF(E185="log Pa-m3/mol",(10^D185)/101325,IF(E185="mol/dm3-atm",1/(D185*1000),IF(E185="atm-m3/mol",D185,0)))))))</f>
        <v>6.0400000000000006E-11</v>
      </c>
      <c r="J185" s="469">
        <f t="shared" ref="J185" si="120">IF(ISBLANK(D185),"",1/I185)</f>
        <v>16556291390.728476</v>
      </c>
      <c r="K185" s="469">
        <f>IF(ISBLANK(D185),"",IF(E185="log",10^D185,IF(E185="dimensionless",D185,I185/(R_atm*(M185+273.15)*0.001))))</f>
        <v>2.4605395989708576E-9</v>
      </c>
      <c r="L185" s="469">
        <f t="shared" ref="L185" si="121">IF(ISBLANK(D185),"",IF(E185="log",D185,IF(E185="dimensionless",LOG(D185),LOG(K185))))</f>
        <v>-8.6089696412065528</v>
      </c>
      <c r="M185" s="695">
        <v>26</v>
      </c>
      <c r="N185" s="678"/>
      <c r="O185" s="678" t="s">
        <v>511</v>
      </c>
      <c r="P185" s="122">
        <f>VLOOKUP(O185,References!$B$7:$F$252,5,FALSE)</f>
        <v>36</v>
      </c>
    </row>
    <row r="186" spans="1:16" ht="18" customHeight="1" x14ac:dyDescent="0.2">
      <c r="A186" s="898" t="s">
        <v>337</v>
      </c>
      <c r="B186" s="900" t="s">
        <v>338</v>
      </c>
      <c r="C186" s="902" t="s">
        <v>340</v>
      </c>
      <c r="D186" s="331">
        <v>-3.08</v>
      </c>
      <c r="E186" s="331" t="s">
        <v>599</v>
      </c>
      <c r="F186" s="432" t="s">
        <v>522</v>
      </c>
      <c r="G186" s="433">
        <f t="shared" ref="G186:G196" si="122">IF(ISBLANK(D186),"",IF(E186="log",K186*R_Pa*(M186+273.15)*0.001,IF(E186="dimensionless",K186*R_Pa*(M186+273.15)*0.001,IF(E186="Pa-m3/mol",D186,IF(E186="log Pa-m3/mol",10^D186,IF(E186="mol/dm3-atm",I186*101325,IF(E186="atm-m3/mol",I186*101325,0)))))))</f>
        <v>2.061906647343557</v>
      </c>
      <c r="H186" s="433">
        <f t="shared" si="116"/>
        <v>0.48498800917507251</v>
      </c>
      <c r="I186" s="433">
        <f t="shared" ref="I186:I196" si="123">IF(ISBLANK(D186),"",IF(E186="log",K186*R_atm*(M186+273.15)*0.001,IF(E186="dimensionless",K186*R_atm*(M186+273.15)*0.001,IF(E186="Pa-m3/mol",D186/101325,IF(E186="log Pa-m3/mol",(10^D186)/101325,IF(E186="mol/dm3-atm",1/(D186*1000),IF(E186="atm-m3/mol",D186,0)))))))</f>
        <v>2.0349436440597724E-5</v>
      </c>
      <c r="J186" s="433">
        <f t="shared" si="117"/>
        <v>49141.410029664046</v>
      </c>
      <c r="K186" s="433">
        <f t="shared" ref="K186:K196" si="124">IF(ISBLANK(D186),"",IF(E186="log",10^D186,IF(E186="dimensionless",D186,I186/(R_atm*(M186+273.15)*0.001))))</f>
        <v>8.3176377110267033E-4</v>
      </c>
      <c r="L186" s="433">
        <f t="shared" si="118"/>
        <v>-3.08</v>
      </c>
      <c r="M186" s="331">
        <v>25</v>
      </c>
      <c r="N186" s="434"/>
      <c r="O186" s="434" t="s">
        <v>570</v>
      </c>
      <c r="P186" s="100">
        <f>VLOOKUP(O186,References!$B$7:$F$252,5,FALSE)</f>
        <v>9</v>
      </c>
    </row>
    <row r="187" spans="1:16" x14ac:dyDescent="0.2">
      <c r="A187" s="904"/>
      <c r="B187" s="897"/>
      <c r="C187" s="905"/>
      <c r="D187" s="331">
        <v>-0.72</v>
      </c>
      <c r="E187" s="331" t="s">
        <v>599</v>
      </c>
      <c r="F187" s="432" t="s">
        <v>571</v>
      </c>
      <c r="G187" s="433">
        <f t="shared" si="122"/>
        <v>472.3555241426206</v>
      </c>
      <c r="H187" s="433">
        <f t="shared" si="116"/>
        <v>2.1170494445155786E-3</v>
      </c>
      <c r="I187" s="433">
        <f t="shared" si="123"/>
        <v>4.6617865693819125E-3</v>
      </c>
      <c r="J187" s="433">
        <f t="shared" si="117"/>
        <v>214.51003496554026</v>
      </c>
      <c r="K187" s="433">
        <f t="shared" si="124"/>
        <v>0.19054607179632471</v>
      </c>
      <c r="L187" s="433">
        <f t="shared" si="118"/>
        <v>-0.72</v>
      </c>
      <c r="M187" s="331">
        <v>25</v>
      </c>
      <c r="N187" s="434"/>
      <c r="O187" s="434" t="s">
        <v>570</v>
      </c>
      <c r="P187" s="100">
        <f>VLOOKUP(O187,References!$B$7:$F$252,5,FALSE)</f>
        <v>9</v>
      </c>
    </row>
    <row r="188" spans="1:16" ht="16" x14ac:dyDescent="0.2">
      <c r="A188" s="904"/>
      <c r="B188" s="897"/>
      <c r="C188" s="905"/>
      <c r="D188" s="697">
        <v>7.4000000000000001E-7</v>
      </c>
      <c r="E188" s="348" t="s">
        <v>594</v>
      </c>
      <c r="F188" s="432" t="s">
        <v>571</v>
      </c>
      <c r="G188" s="433">
        <f>IF(ISBLANK(D188),"",IF(E188="log",K188*R_Pa*(M188+273.15)*0.001,IF(E188="dimensionless",K188*R_Pa*(M188+273.15)*0.001,IF(E188="Pa-m3/mol",D188,IF(E188="log Pa-m3/mol",10^D188,IF(E188="mol/dm3-atm",I188*101325,IF(E188="atm-m3/mol",I188*101325,0)))))))</f>
        <v>7.4980500000000005E-2</v>
      </c>
      <c r="H188" s="433">
        <f>IF(ISBLANK(D188),"",1/G188)</f>
        <v>13.33680090156774</v>
      </c>
      <c r="I188" s="433">
        <f>IF(ISBLANK(D188),"",IF(E188="log",K188*R_atm*(M188+273.15)*0.001,IF(E188="dimensionless",K188*R_atm*(M188+273.15)*0.001,IF(E188="Pa-m3/mol",D188/101325,IF(E188="log Pa-m3/mol",(10^D188)/101325,IF(E188="mol/dm3-atm",1/(D188*1000),IF(E188="atm-m3/mol",D188,0)))))))</f>
        <v>7.4000000000000001E-7</v>
      </c>
      <c r="J188" s="433">
        <f>IF(ISBLANK(D188),"",1/I188)</f>
        <v>1351351.3513513512</v>
      </c>
      <c r="K188" s="433">
        <f>IF(ISBLANK(D188),"",IF(E188="log",10^D188,IF(E188="dimensionless",D188,I188/(R_atm*(M188+273.15)*0.001))))</f>
        <v>3.0246792947446207E-5</v>
      </c>
      <c r="L188" s="433">
        <f>IF(ISBLANK(D188),"",IF(E188="log",D188,IF(E188="dimensionless",LOG(D188),LOG(K188))))</f>
        <v>-4.519320666600402</v>
      </c>
      <c r="M188" s="685">
        <v>25</v>
      </c>
      <c r="N188" s="432">
        <v>7</v>
      </c>
      <c r="O188" s="434" t="s">
        <v>608</v>
      </c>
      <c r="P188" s="100">
        <f>VLOOKUP(O188,References!$B$7:$F$252,5,FALSE)</f>
        <v>103</v>
      </c>
    </row>
    <row r="189" spans="1:16" x14ac:dyDescent="0.2">
      <c r="A189" s="904"/>
      <c r="B189" s="897"/>
      <c r="C189" s="905"/>
      <c r="D189" s="700">
        <v>-1.7538324016719891</v>
      </c>
      <c r="E189" s="331" t="s">
        <v>599</v>
      </c>
      <c r="F189" s="432" t="s">
        <v>513</v>
      </c>
      <c r="G189" s="433">
        <f t="shared" si="122"/>
        <v>43.695488309337954</v>
      </c>
      <c r="H189" s="433">
        <f t="shared" si="116"/>
        <v>2.288565796360021E-2</v>
      </c>
      <c r="I189" s="433">
        <f t="shared" si="123"/>
        <v>4.3124094063003328E-4</v>
      </c>
      <c r="J189" s="433">
        <f t="shared" si="117"/>
        <v>2318.8892931617825</v>
      </c>
      <c r="K189" s="433">
        <f t="shared" si="124"/>
        <v>1.7626561407700754E-2</v>
      </c>
      <c r="L189" s="433">
        <f t="shared" si="118"/>
        <v>-1.7538324016719891</v>
      </c>
      <c r="M189" s="348">
        <v>25</v>
      </c>
      <c r="N189" s="434"/>
      <c r="O189" s="434" t="s">
        <v>600</v>
      </c>
      <c r="P189" s="100">
        <f>VLOOKUP(O189,References!$B$7:$F$252,5,FALSE)</f>
        <v>143</v>
      </c>
    </row>
    <row r="190" spans="1:16" x14ac:dyDescent="0.2">
      <c r="A190" s="904"/>
      <c r="B190" s="897"/>
      <c r="C190" s="905"/>
      <c r="D190" s="700">
        <v>-1.4591076240487</v>
      </c>
      <c r="E190" s="331" t="s">
        <v>599</v>
      </c>
      <c r="F190" s="432" t="s">
        <v>571</v>
      </c>
      <c r="G190" s="433">
        <f t="shared" si="122"/>
        <v>86.131373880296763</v>
      </c>
      <c r="H190" s="433">
        <f t="shared" si="116"/>
        <v>1.1610171241315331E-2</v>
      </c>
      <c r="I190" s="433">
        <f t="shared" si="123"/>
        <v>8.5005056876681065E-4</v>
      </c>
      <c r="J190" s="433">
        <f t="shared" si="117"/>
        <v>1176.4006010262715</v>
      </c>
      <c r="K190" s="433">
        <f t="shared" si="124"/>
        <v>3.4745004795065683E-2</v>
      </c>
      <c r="L190" s="433">
        <f t="shared" si="118"/>
        <v>-1.4591076240487</v>
      </c>
      <c r="M190" s="348">
        <v>25</v>
      </c>
      <c r="N190" s="434"/>
      <c r="O190" s="434" t="s">
        <v>600</v>
      </c>
      <c r="P190" s="100">
        <f>VLOOKUP(O190,References!$B$7:$F$252,5,FALSE)</f>
        <v>143</v>
      </c>
    </row>
    <row r="191" spans="1:16" x14ac:dyDescent="0.2">
      <c r="A191" s="904"/>
      <c r="B191" s="897"/>
      <c r="C191" s="905"/>
      <c r="D191" s="700">
        <v>-1.6717494361766112</v>
      </c>
      <c r="E191" s="331" t="s">
        <v>599</v>
      </c>
      <c r="F191" s="432" t="s">
        <v>522</v>
      </c>
      <c r="G191" s="433">
        <f t="shared" si="122"/>
        <v>52.786098346884117</v>
      </c>
      <c r="H191" s="433">
        <f t="shared" si="116"/>
        <v>1.894438178454666E-2</v>
      </c>
      <c r="I191" s="433">
        <f t="shared" si="123"/>
        <v>5.2095828617699787E-4</v>
      </c>
      <c r="J191" s="433">
        <f t="shared" si="117"/>
        <v>1919.5394843191832</v>
      </c>
      <c r="K191" s="433">
        <f t="shared" si="124"/>
        <v>2.1293672184124438E-2</v>
      </c>
      <c r="L191" s="433">
        <f t="shared" si="118"/>
        <v>-1.6717494361766112</v>
      </c>
      <c r="M191" s="348">
        <v>25</v>
      </c>
      <c r="N191" s="434"/>
      <c r="O191" s="434" t="s">
        <v>600</v>
      </c>
      <c r="P191" s="100">
        <f>VLOOKUP(O191,References!$B$7:$F$252,5,FALSE)</f>
        <v>143</v>
      </c>
    </row>
    <row r="192" spans="1:16" x14ac:dyDescent="0.2">
      <c r="A192" s="904"/>
      <c r="B192" s="897"/>
      <c r="C192" s="905"/>
      <c r="D192" s="700">
        <v>-3.0302350000000002</v>
      </c>
      <c r="E192" s="331" t="s">
        <v>599</v>
      </c>
      <c r="F192" s="432" t="s">
        <v>514</v>
      </c>
      <c r="G192" s="433">
        <f t="shared" si="122"/>
        <v>2.3122457972611392</v>
      </c>
      <c r="H192" s="433">
        <f t="shared" si="116"/>
        <v>0.43247997301346702</v>
      </c>
      <c r="I192" s="433">
        <f t="shared" si="123"/>
        <v>2.2820091756833436E-5</v>
      </c>
      <c r="J192" s="433">
        <f t="shared" si="117"/>
        <v>43821.03326558938</v>
      </c>
      <c r="K192" s="433">
        <f t="shared" si="124"/>
        <v>9.3274944650089851E-4</v>
      </c>
      <c r="L192" s="433">
        <f t="shared" si="118"/>
        <v>-3.0302350000000002</v>
      </c>
      <c r="M192" s="348">
        <v>25</v>
      </c>
      <c r="N192" s="434"/>
      <c r="O192" s="434" t="s">
        <v>600</v>
      </c>
      <c r="P192" s="100">
        <f>VLOOKUP(O192,References!$B$7:$F$252,5,FALSE)</f>
        <v>143</v>
      </c>
    </row>
    <row r="193" spans="1:16" ht="16" x14ac:dyDescent="0.2">
      <c r="A193" s="904"/>
      <c r="B193" s="897"/>
      <c r="C193" s="905"/>
      <c r="D193" s="432">
        <v>-2.35</v>
      </c>
      <c r="E193" s="348" t="s">
        <v>599</v>
      </c>
      <c r="F193" s="432" t="s">
        <v>522</v>
      </c>
      <c r="G193" s="433">
        <f>IF(ISBLANK(D193),"",IF(E193="log",K193*R_Pa*(M193+273.15)*0.001,IF(E193="dimensionless",K193*R_Pa*(M193+273.15)*0.001,IF(E193="Pa-m3/mol",D193,IF(E193="log Pa-m3/mol",10^D193,IF(E193="mol/dm3-atm",I193*101325,IF(E193="atm-m3/mol",I193*101325,0)))))))</f>
        <v>11.073094307706754</v>
      </c>
      <c r="H193" s="433">
        <f>IF(ISBLANK(D193),"",1/G193)</f>
        <v>9.0308993332063547E-2</v>
      </c>
      <c r="I193" s="433">
        <f>IF(ISBLANK(D193),"",IF(E193="log",K193*R_atm*(M193+273.15)*0.001,IF(E193="dimensionless",K193*R_atm*(M193+273.15)*0.001,IF(E193="Pa-m3/mol",D193/101325,IF(E193="log Pa-m3/mol",(10^D193)/101325,IF(E193="mol/dm3-atm",1/(D193*1000),IF(E193="atm-m3/mol",D193,0)))))))</f>
        <v>1.0928294406816478E-4</v>
      </c>
      <c r="J193" s="433">
        <f>IF(ISBLANK(D193),"",1/I193)</f>
        <v>9150.5587493713028</v>
      </c>
      <c r="K193" s="433">
        <f>IF(ISBLANK(D193),"",IF(E193="log",10^D193,IF(E193="dimensionless",D193,I193/(R_atm*(M193+273.15)*0.001))))</f>
        <v>4.4668359215096279E-3</v>
      </c>
      <c r="L193" s="433">
        <f>IF(ISBLANK(D193),"",IF(E193="log",D193,IF(E193="dimensionless",LOG(D193),LOG(K193))))</f>
        <v>-2.35</v>
      </c>
      <c r="M193" s="685">
        <v>25</v>
      </c>
      <c r="N193" s="434"/>
      <c r="O193" s="434" t="s">
        <v>523</v>
      </c>
      <c r="P193" s="100">
        <f>VLOOKUP(O193,References!$B$7:$F$252,5,FALSE)</f>
        <v>127</v>
      </c>
    </row>
    <row r="194" spans="1:16" x14ac:dyDescent="0.2">
      <c r="A194" s="904"/>
      <c r="B194" s="897"/>
      <c r="C194" s="905"/>
      <c r="D194" s="331">
        <v>128621</v>
      </c>
      <c r="E194" s="331" t="s">
        <v>597</v>
      </c>
      <c r="F194" s="432" t="s">
        <v>610</v>
      </c>
      <c r="G194" s="433">
        <f>IF(ISBLANK(D194),"",IF(E194="log",K194*R_Pa*(M194+273.15)*0.001,IF(E194="dimensionless",K194*R_Pa*(M194+273.15)*0.001,IF(E194="Pa-m3/mol",D194,IF(E194="log Pa-m3/mol",10^D194,IF(E194="mol/dm3-atm",I194*101325,IF(E194="atm-m3/mol",I194*101325,0)))))))</f>
        <v>128621</v>
      </c>
      <c r="H194" s="433">
        <f>IF(ISBLANK(D194),"",1/G194)</f>
        <v>7.7747801680907466E-6</v>
      </c>
      <c r="I194" s="433">
        <f>IF(ISBLANK(D194),"",IF(E194="log",K194*R_atm*(M194+273.15)*0.001,IF(E194="dimensionless",K194*R_atm*(M194+273.15)*0.001,IF(E194="Pa-m3/mol",D194/101325,IF(E194="log Pa-m3/mol",(10^D194)/101325,IF(E194="mol/dm3-atm",1/(D194*1000),IF(E194="atm-m3/mol",D194,0)))))))</f>
        <v>1.2693905748828029</v>
      </c>
      <c r="J194" s="433">
        <f>IF(ISBLANK(D194),"",1/I194)</f>
        <v>0.78777960053179497</v>
      </c>
      <c r="K194" s="433">
        <f>IF(ISBLANK(D194),"",IF(E194="log",10^D194,IF(E194="dimensionless",D194,I194/(R_atm*(M194+273.15)*0.001))))</f>
        <v>51.885126875567366</v>
      </c>
      <c r="L194" s="433">
        <f>IF(ISBLANK(D194),"",IF(E194="log",D194,IF(E194="dimensionless",LOG(D194),LOG(K194))))</f>
        <v>1.7150428830588915</v>
      </c>
      <c r="M194" s="685">
        <v>25</v>
      </c>
      <c r="N194" s="434"/>
      <c r="O194" s="434" t="s">
        <v>611</v>
      </c>
      <c r="P194" s="100">
        <f>VLOOKUP(O194,References!$B$7:$F$252,5,FALSE)</f>
        <v>136</v>
      </c>
    </row>
    <row r="195" spans="1:16" x14ac:dyDescent="0.2">
      <c r="A195" s="904"/>
      <c r="B195" s="897"/>
      <c r="C195" s="905"/>
      <c r="D195" s="331">
        <v>4.46</v>
      </c>
      <c r="E195" s="331" t="s">
        <v>599</v>
      </c>
      <c r="F195" s="432" t="s">
        <v>601</v>
      </c>
      <c r="G195" s="433">
        <f>IF(ISBLANK(D195),"",IF(E195="log",K195*R_Pa*(M195+273.15)*0.001,IF(E195="dimensionless",K195*R_Pa*(M195+273.15)*0.001,IF(E195="Pa-m3/mol",D195,IF(E195="log Pa-m3/mol",10^D195,IF(E195="mol/dm3-atm",I195*101325,IF(E195="atm-m3/mol",I195*101325,0)))))))</f>
        <v>71493901.682704434</v>
      </c>
      <c r="H195" s="433">
        <f>IF(ISBLANK(D195),"",1/G195)</f>
        <v>1.3987206970995634E-8</v>
      </c>
      <c r="I195" s="433">
        <f>IF(ISBLANK(D195),"",IF(E195="log",K195*R_atm*(M195+273.15)*0.001,IF(E195="dimensionless",K195*R_atm*(M195+273.15)*0.001,IF(E195="Pa-m3/mol",D195/101325,IF(E195="log Pa-m3/mol",(10^D195)/101325,IF(E195="mol/dm3-atm",1/(D195*1000),IF(E195="atm-m3/mol",D195,0)))))))</f>
        <v>705.58994998968376</v>
      </c>
      <c r="J195" s="433">
        <f>IF(ISBLANK(D195),"",1/I195)</f>
        <v>1.4172537463361273E-3</v>
      </c>
      <c r="K195" s="433">
        <f>IF(ISBLANK(D195),"",IF(E195="log",10^D195,IF(E195="dimensionless",D195,I195/(R_atm*(M195+273.15)*0.001))))</f>
        <v>28840.315031266062</v>
      </c>
      <c r="L195" s="433">
        <f>IF(ISBLANK(D195),"",IF(E195="log",D195,IF(E195="dimensionless",LOG(D195),LOG(K195))))</f>
        <v>4.46</v>
      </c>
      <c r="M195" s="331">
        <v>25</v>
      </c>
      <c r="N195" s="434"/>
      <c r="O195" s="434" t="s">
        <v>525</v>
      </c>
      <c r="P195" s="100">
        <f>VLOOKUP(O195,References!$B$7:$F$252,5,FALSE)</f>
        <v>61</v>
      </c>
    </row>
    <row r="196" spans="1:16" ht="16" x14ac:dyDescent="0.2">
      <c r="A196" s="899"/>
      <c r="B196" s="901"/>
      <c r="C196" s="903"/>
      <c r="D196" s="686">
        <v>1.5199999999999999E-10</v>
      </c>
      <c r="E196" s="588" t="s">
        <v>594</v>
      </c>
      <c r="F196" s="686" t="s">
        <v>515</v>
      </c>
      <c r="G196" s="469">
        <f t="shared" si="122"/>
        <v>1.5401399999999998E-5</v>
      </c>
      <c r="H196" s="469">
        <f t="shared" si="116"/>
        <v>64929.162283948222</v>
      </c>
      <c r="I196" s="469">
        <f t="shared" si="123"/>
        <v>1.5199999999999999E-10</v>
      </c>
      <c r="J196" s="469">
        <f t="shared" si="117"/>
        <v>6578947368.4210529</v>
      </c>
      <c r="K196" s="469">
        <f t="shared" si="124"/>
        <v>6.2128547675835453E-9</v>
      </c>
      <c r="L196" s="469">
        <f t="shared" si="118"/>
        <v>-8.2067087983866056</v>
      </c>
      <c r="M196" s="588">
        <v>25</v>
      </c>
      <c r="N196" s="678"/>
      <c r="O196" s="678" t="s">
        <v>511</v>
      </c>
      <c r="P196" s="122">
        <f>VLOOKUP(O196,References!$B$7:$F$252,5,FALSE)</f>
        <v>36</v>
      </c>
    </row>
    <row r="197" spans="1:16" ht="18" customHeight="1" x14ac:dyDescent="0.2">
      <c r="A197" s="904" t="s">
        <v>345</v>
      </c>
      <c r="B197" s="897" t="s">
        <v>346</v>
      </c>
      <c r="C197" s="905" t="s">
        <v>348</v>
      </c>
      <c r="D197" s="331">
        <v>-2.15</v>
      </c>
      <c r="E197" s="331" t="s">
        <v>599</v>
      </c>
      <c r="F197" s="432" t="s">
        <v>522</v>
      </c>
      <c r="G197" s="433">
        <f t="shared" ref="G197:G207" si="125">IF(ISBLANK(D197),"",IF(E197="log",K197*R_Pa*(M197+273.15)*0.001,IF(E197="dimensionless",K197*R_Pa*(M197+273.15)*0.001,IF(E197="Pa-m3/mol",D197,IF(E197="log Pa-m3/mol",10^D197,IF(E197="mol/dm3-atm",I197*101325,IF(E197="atm-m3/mol",I197*101325,0)))))))</f>
        <v>17.549671787764357</v>
      </c>
      <c r="H197" s="433">
        <f t="shared" si="116"/>
        <v>5.698112261547824E-2</v>
      </c>
      <c r="I197" s="433">
        <f t="shared" ref="I197:I207" si="126">IF(ISBLANK(D197),"",IF(E197="log",K197*R_atm*(M197+273.15)*0.001,IF(E197="dimensionless",K197*R_atm*(M197+273.15)*0.001,IF(E197="Pa-m3/mol",D197/101325,IF(E197="log Pa-m3/mol",(10^D197)/101325,IF(E197="mol/dm3-atm",1/(D197*1000),IF(E197="atm-m3/mol",D197,0)))))))</f>
        <v>1.7320179410574313E-4</v>
      </c>
      <c r="J197" s="433">
        <f t="shared" si="117"/>
        <v>5773.6122490133112</v>
      </c>
      <c r="K197" s="433">
        <f t="shared" ref="K197:K207" si="127">IF(ISBLANK(D197),"",IF(E197="log",10^D197,IF(E197="dimensionless",D197,I197/(R_atm*(M197+273.15)*0.001))))</f>
        <v>7.0794578438413795E-3</v>
      </c>
      <c r="L197" s="433">
        <f t="shared" si="118"/>
        <v>-2.15</v>
      </c>
      <c r="M197" s="331">
        <v>25</v>
      </c>
      <c r="N197" s="434"/>
      <c r="O197" s="434" t="s">
        <v>570</v>
      </c>
      <c r="P197" s="100">
        <f>VLOOKUP(O197,References!$B$7:$F$252,5,FALSE)</f>
        <v>9</v>
      </c>
    </row>
    <row r="198" spans="1:16" x14ac:dyDescent="0.2">
      <c r="A198" s="904"/>
      <c r="B198" s="897"/>
      <c r="C198" s="905"/>
      <c r="D198" s="331">
        <v>-0.47</v>
      </c>
      <c r="E198" s="331" t="s">
        <v>599</v>
      </c>
      <c r="F198" s="432" t="s">
        <v>571</v>
      </c>
      <c r="G198" s="433">
        <f t="shared" si="125"/>
        <v>839.9801028009656</v>
      </c>
      <c r="H198" s="433">
        <f t="shared" si="116"/>
        <v>1.1905043901223827E-3</v>
      </c>
      <c r="I198" s="433">
        <f t="shared" si="126"/>
        <v>8.2899590703278403E-3</v>
      </c>
      <c r="J198" s="433">
        <f t="shared" si="117"/>
        <v>120.62785732915003</v>
      </c>
      <c r="K198" s="433">
        <f t="shared" si="127"/>
        <v>0.33884415613920255</v>
      </c>
      <c r="L198" s="433">
        <f t="shared" si="118"/>
        <v>-0.47</v>
      </c>
      <c r="M198" s="331">
        <v>25</v>
      </c>
      <c r="N198" s="434"/>
      <c r="O198" s="434" t="s">
        <v>570</v>
      </c>
      <c r="P198" s="100">
        <f>VLOOKUP(O198,References!$B$7:$F$252,5,FALSE)</f>
        <v>9</v>
      </c>
    </row>
    <row r="199" spans="1:16" x14ac:dyDescent="0.2">
      <c r="A199" s="904"/>
      <c r="B199" s="897"/>
      <c r="C199" s="905"/>
      <c r="D199" s="700">
        <v>-1.6309136430396964</v>
      </c>
      <c r="E199" s="331" t="s">
        <v>599</v>
      </c>
      <c r="F199" s="432" t="s">
        <v>513</v>
      </c>
      <c r="G199" s="433">
        <f t="shared" si="125"/>
        <v>57.990300030026233</v>
      </c>
      <c r="H199" s="433">
        <f t="shared" si="116"/>
        <v>1.724426325578967E-2</v>
      </c>
      <c r="I199" s="433">
        <f t="shared" si="126"/>
        <v>5.7231976343475395E-4</v>
      </c>
      <c r="J199" s="433">
        <f t="shared" si="117"/>
        <v>1747.2749743928821</v>
      </c>
      <c r="K199" s="433">
        <f t="shared" si="127"/>
        <v>2.3393023492354593E-2</v>
      </c>
      <c r="L199" s="433">
        <f t="shared" si="118"/>
        <v>-1.6309136430396964</v>
      </c>
      <c r="M199" s="348">
        <v>25</v>
      </c>
      <c r="N199" s="434"/>
      <c r="O199" s="434" t="s">
        <v>600</v>
      </c>
      <c r="P199" s="100">
        <f>VLOOKUP(O199,References!$B$7:$F$252,5,FALSE)</f>
        <v>143</v>
      </c>
    </row>
    <row r="200" spans="1:16" x14ac:dyDescent="0.2">
      <c r="A200" s="904"/>
      <c r="B200" s="897"/>
      <c r="C200" s="905"/>
      <c r="D200" s="700">
        <v>-1.3344994956325</v>
      </c>
      <c r="E200" s="331" t="s">
        <v>599</v>
      </c>
      <c r="F200" s="432" t="s">
        <v>571</v>
      </c>
      <c r="G200" s="433">
        <f t="shared" si="125"/>
        <v>114.75444136193738</v>
      </c>
      <c r="H200" s="433">
        <f t="shared" si="116"/>
        <v>8.7142596672662425E-3</v>
      </c>
      <c r="I200" s="433">
        <f t="shared" si="126"/>
        <v>1.1325382813909481E-3</v>
      </c>
      <c r="J200" s="433">
        <f t="shared" si="117"/>
        <v>882.97236078574872</v>
      </c>
      <c r="K200" s="433">
        <f t="shared" si="127"/>
        <v>4.6291420138227804E-2</v>
      </c>
      <c r="L200" s="433">
        <f t="shared" si="118"/>
        <v>-1.3344994956325</v>
      </c>
      <c r="M200" s="348">
        <v>25</v>
      </c>
      <c r="N200" s="434"/>
      <c r="O200" s="434" t="s">
        <v>600</v>
      </c>
      <c r="P200" s="100">
        <f>VLOOKUP(O200,References!$B$7:$F$252,5,FALSE)</f>
        <v>143</v>
      </c>
    </row>
    <row r="201" spans="1:16" x14ac:dyDescent="0.2">
      <c r="A201" s="904"/>
      <c r="B201" s="897"/>
      <c r="C201" s="905"/>
      <c r="D201" s="700">
        <v>-1.1917494361766112</v>
      </c>
      <c r="E201" s="331" t="s">
        <v>599</v>
      </c>
      <c r="F201" s="432" t="s">
        <v>522</v>
      </c>
      <c r="G201" s="433">
        <f t="shared" si="125"/>
        <v>159.41146851598273</v>
      </c>
      <c r="H201" s="433">
        <f t="shared" si="116"/>
        <v>6.2730743861113053E-3</v>
      </c>
      <c r="I201" s="433">
        <f t="shared" si="126"/>
        <v>1.5732688725979113E-3</v>
      </c>
      <c r="J201" s="433">
        <f t="shared" si="117"/>
        <v>635.61926217272548</v>
      </c>
      <c r="K201" s="433">
        <f t="shared" si="127"/>
        <v>6.4305861946123172E-2</v>
      </c>
      <c r="L201" s="433">
        <f t="shared" si="118"/>
        <v>-1.1917494361766112</v>
      </c>
      <c r="M201" s="348">
        <v>25</v>
      </c>
      <c r="N201" s="434"/>
      <c r="O201" s="434" t="s">
        <v>600</v>
      </c>
      <c r="P201" s="100">
        <f>VLOOKUP(O201,References!$B$7:$F$252,5,FALSE)</f>
        <v>143</v>
      </c>
    </row>
    <row r="202" spans="1:16" x14ac:dyDescent="0.2">
      <c r="A202" s="904"/>
      <c r="B202" s="897"/>
      <c r="C202" s="905"/>
      <c r="D202" s="700">
        <v>-2.9085400000000012</v>
      </c>
      <c r="E202" s="331" t="s">
        <v>599</v>
      </c>
      <c r="F202" s="432" t="s">
        <v>514</v>
      </c>
      <c r="G202" s="433">
        <f t="shared" si="125"/>
        <v>3.0600533539553414</v>
      </c>
      <c r="H202" s="433">
        <f t="shared" si="116"/>
        <v>0.32679168770290468</v>
      </c>
      <c r="I202" s="433">
        <f t="shared" si="126"/>
        <v>3.0200378524109083E-5</v>
      </c>
      <c r="J202" s="433">
        <f t="shared" si="117"/>
        <v>33112.167756496696</v>
      </c>
      <c r="K202" s="433">
        <f t="shared" si="127"/>
        <v>1.2344116164232817E-3</v>
      </c>
      <c r="L202" s="433">
        <f t="shared" si="118"/>
        <v>-2.9085400000000012</v>
      </c>
      <c r="M202" s="348">
        <v>25</v>
      </c>
      <c r="N202" s="434"/>
      <c r="O202" s="434" t="s">
        <v>600</v>
      </c>
      <c r="P202" s="100">
        <f>VLOOKUP(O202,References!$B$7:$F$252,5,FALSE)</f>
        <v>143</v>
      </c>
    </row>
    <row r="203" spans="1:16" ht="16" x14ac:dyDescent="0.2">
      <c r="A203" s="904"/>
      <c r="B203" s="897"/>
      <c r="C203" s="905"/>
      <c r="D203" s="331">
        <v>-2.08</v>
      </c>
      <c r="E203" s="348" t="s">
        <v>599</v>
      </c>
      <c r="F203" s="432" t="s">
        <v>522</v>
      </c>
      <c r="G203" s="433">
        <f>IF(ISBLANK(D203),"",IF(E203="log",K203*R_Pa*(M203+273.15)*0.001,IF(E203="dimensionless",K203*R_Pa*(M203+273.15)*0.001,IF(E203="Pa-m3/mol",D203,IF(E203="log Pa-m3/mol",10^D203,IF(E203="mol/dm3-atm",I203*101325,IF(E203="atm-m3/mol",I203*101325,0)))))))</f>
        <v>20.61906647343557</v>
      </c>
      <c r="H203" s="433">
        <f>IF(ISBLANK(D203),"",1/G203)</f>
        <v>4.8498800917507252E-2</v>
      </c>
      <c r="I203" s="433">
        <f>IF(ISBLANK(D203),"",IF(E203="log",K203*R_atm*(M203+273.15)*0.001,IF(E203="dimensionless",K203*R_atm*(M203+273.15)*0.001,IF(E203="Pa-m3/mol",D203/101325,IF(E203="log Pa-m3/mol",(10^D203)/101325,IF(E203="mol/dm3-atm",1/(D203*1000),IF(E203="atm-m3/mol",D203,0)))))))</f>
        <v>2.0349436440597729E-4</v>
      </c>
      <c r="J203" s="433">
        <f>IF(ISBLANK(D203),"",1/I203)</f>
        <v>4914.141002966403</v>
      </c>
      <c r="K203" s="433">
        <f>IF(ISBLANK(D203),"",IF(E203="log",10^D203,IF(E203="dimensionless",D203,I203/(R_atm*(M203+273.15)*0.001))))</f>
        <v>8.3176377110267055E-3</v>
      </c>
      <c r="L203" s="433">
        <f>IF(ISBLANK(D203),"",IF(E203="log",D203,IF(E203="dimensionless",LOG(D203),LOG(K203))))</f>
        <v>-2.08</v>
      </c>
      <c r="M203" s="685">
        <v>25</v>
      </c>
      <c r="N203" s="434"/>
      <c r="O203" s="434" t="s">
        <v>523</v>
      </c>
      <c r="P203" s="100">
        <f>VLOOKUP(O203,References!$B$7:$F$252,5,FALSE)</f>
        <v>127</v>
      </c>
    </row>
    <row r="204" spans="1:16" x14ac:dyDescent="0.2">
      <c r="A204" s="904"/>
      <c r="B204" s="897"/>
      <c r="C204" s="905"/>
      <c r="D204" s="331">
        <v>86061</v>
      </c>
      <c r="E204" s="331" t="s">
        <v>597</v>
      </c>
      <c r="F204" s="432" t="s">
        <v>610</v>
      </c>
      <c r="G204" s="433">
        <f>IF(ISBLANK(D204),"",IF(E204="log",K204*R_Pa*(M204+273.15)*0.001,IF(E204="dimensionless",K204*R_Pa*(M204+273.15)*0.001,IF(E204="Pa-m3/mol",D204,IF(E204="log Pa-m3/mol",10^D204,IF(E204="mol/dm3-atm",I204*101325,IF(E204="atm-m3/mol",I204*101325,0)))))))</f>
        <v>86061</v>
      </c>
      <c r="H204" s="433">
        <f>IF(ISBLANK(D204),"",1/G204)</f>
        <v>1.1619665121251205E-5</v>
      </c>
      <c r="I204" s="433">
        <f>IF(ISBLANK(D204),"",IF(E204="log",K204*R_atm*(M204+273.15)*0.001,IF(E204="dimensionless",K204*R_atm*(M204+273.15)*0.001,IF(E204="Pa-m3/mol",D204/101325,IF(E204="log Pa-m3/mol",(10^D204)/101325,IF(E204="mol/dm3-atm",1/(D204*1000),IF(E204="atm-m3/mol",D204,0)))))))</f>
        <v>0.84935603256846781</v>
      </c>
      <c r="J204" s="433">
        <f>IF(ISBLANK(D204),"",1/I204)</f>
        <v>1.1773625684107785</v>
      </c>
      <c r="K204" s="433">
        <f>IF(ISBLANK(D204),"",IF(E204="log",10^D204,IF(E204="dimensionless",D204,I204/(R_atm*(M204+273.15)*0.001))))</f>
        <v>34.716616291571384</v>
      </c>
      <c r="L204" s="433">
        <f>IF(ISBLANK(D204),"",IF(E204="log",D204,IF(E204="dimensionless",LOG(D204),LOG(K204))))</f>
        <v>1.5405373893871908</v>
      </c>
      <c r="M204" s="685">
        <v>25</v>
      </c>
      <c r="N204" s="434"/>
      <c r="O204" s="434" t="s">
        <v>611</v>
      </c>
      <c r="P204" s="100">
        <f>VLOOKUP(O204,References!$B$7:$F$252,5,FALSE)</f>
        <v>136</v>
      </c>
    </row>
    <row r="205" spans="1:16" x14ac:dyDescent="0.2">
      <c r="A205" s="904"/>
      <c r="B205" s="897"/>
      <c r="C205" s="905"/>
      <c r="D205" s="331">
        <v>4.8099999999999996</v>
      </c>
      <c r="E205" s="331" t="s">
        <v>599</v>
      </c>
      <c r="F205" s="432" t="s">
        <v>601</v>
      </c>
      <c r="G205" s="433">
        <f>IF(ISBLANK(D205),"",IF(E205="log",K205*R_Pa*(M205+273.15)*0.001,IF(E205="dimensionless",K205*R_Pa*(M205+273.15)*0.001,IF(E205="Pa-m3/mol",D205,IF(E205="log Pa-m3/mol",10^D205,IF(E205="mol/dm3-atm",I205*101325,IF(E205="atm-m3/mol",I205*101325,0)))))))</f>
        <v>160054908.975797</v>
      </c>
      <c r="H205" s="433">
        <f>IF(ISBLANK(D205),"",1/G205)</f>
        <v>6.2478558539633229E-9</v>
      </c>
      <c r="I205" s="433">
        <f>IF(ISBLANK(D205),"",IF(E205="log",K205*R_atm*(M205+273.15)*0.001,IF(E205="dimensionless",K205*R_atm*(M205+273.15)*0.001,IF(E205="Pa-m3/mol",D205/101325,IF(E205="log Pa-m3/mol",(10^D205)/101325,IF(E205="mol/dm3-atm",1/(D205*1000),IF(E205="atm-m3/mol",D205,0)))))))</f>
        <v>1579.6191362032826</v>
      </c>
      <c r="J205" s="433">
        <f>IF(ISBLANK(D205),"",1/I205)</f>
        <v>6.3306399440283124E-4</v>
      </c>
      <c r="K205" s="433">
        <f>IF(ISBLANK(D205),"",IF(E205="log",10^D205,IF(E205="dimensionless",D205,I205/(R_atm*(M205+273.15)*0.001))))</f>
        <v>64565.422903465565</v>
      </c>
      <c r="L205" s="433">
        <f>IF(ISBLANK(D205),"",IF(E205="log",D205,IF(E205="dimensionless",LOG(D205),LOG(K205))))</f>
        <v>4.8099999999999996</v>
      </c>
      <c r="M205" s="331">
        <v>25</v>
      </c>
      <c r="N205" s="434"/>
      <c r="O205" s="434" t="s">
        <v>525</v>
      </c>
      <c r="P205" s="100">
        <f>VLOOKUP(O205,References!$B$7:$F$252,5,FALSE)</f>
        <v>61</v>
      </c>
    </row>
    <row r="206" spans="1:16" ht="16" x14ac:dyDescent="0.2">
      <c r="A206" s="904"/>
      <c r="B206" s="897"/>
      <c r="C206" s="905"/>
      <c r="D206" s="705">
        <v>1.44E-2</v>
      </c>
      <c r="E206" s="348" t="s">
        <v>594</v>
      </c>
      <c r="F206" s="432" t="s">
        <v>571</v>
      </c>
      <c r="G206" s="433">
        <f>IF(ISBLANK(D206),"",IF(E206="log",K206*R_Pa*(M206+273.15)*0.001,IF(E206="dimensionless",K206*R_Pa*(M206+273.15)*0.001,IF(E206="Pa-m3/mol",D206,IF(E206="log Pa-m3/mol",10^D206,IF(E206="mol/dm3-atm",I206*101325,IF(E206="atm-m3/mol",I206*101325,0)))))))</f>
        <v>1459.08</v>
      </c>
      <c r="H206" s="433">
        <f>IF(ISBLANK(D206),"",1/G206)</f>
        <v>6.8536337966389779E-4</v>
      </c>
      <c r="I206" s="433">
        <f>IF(ISBLANK(D206),"",IF(E206="log",K206*R_atm*(M206+273.15)*0.001,IF(E206="dimensionless",K206*R_atm*(M206+273.15)*0.001,IF(E206="Pa-m3/mol",D206/101325,IF(E206="log Pa-m3/mol",(10^D206)/101325,IF(E206="mol/dm3-atm",1/(D206*1000),IF(E206="atm-m3/mol",D206,0)))))))</f>
        <v>1.44E-2</v>
      </c>
      <c r="J206" s="433">
        <f>IF(ISBLANK(D206),"",1/I206)</f>
        <v>69.444444444444443</v>
      </c>
      <c r="K206" s="433">
        <f>IF(ISBLANK(D206),"",IF(E206="log",10^D206,IF(E206="dimensionless",D206,I206/(R_atm*(M206+273.15)*0.001))))</f>
        <v>0.58858624113949376</v>
      </c>
      <c r="L206" s="433">
        <f>IF(ISBLANK(D206),"",IF(E206="log",D206,IF(E206="dimensionless",LOG(D206),LOG(K206))))</f>
        <v>-0.23018989423612818</v>
      </c>
      <c r="M206" s="685">
        <v>25</v>
      </c>
      <c r="N206" s="434"/>
      <c r="O206" s="434" t="s">
        <v>606</v>
      </c>
      <c r="P206" s="100">
        <f>VLOOKUP(O206,References!$B$7:$F$252,5,FALSE)</f>
        <v>135</v>
      </c>
    </row>
    <row r="207" spans="1:16" ht="17" thickBot="1" x14ac:dyDescent="0.25">
      <c r="A207" s="904"/>
      <c r="B207" s="897"/>
      <c r="C207" s="905"/>
      <c r="D207" s="331">
        <v>1.5E-10</v>
      </c>
      <c r="E207" s="348" t="s">
        <v>594</v>
      </c>
      <c r="F207" s="432" t="s">
        <v>515</v>
      </c>
      <c r="G207" s="433">
        <f t="shared" si="125"/>
        <v>1.5198749999999999E-5</v>
      </c>
      <c r="H207" s="433">
        <f t="shared" si="116"/>
        <v>65794.884447734192</v>
      </c>
      <c r="I207" s="433">
        <f t="shared" si="126"/>
        <v>1.5E-10</v>
      </c>
      <c r="J207" s="433">
        <f t="shared" si="117"/>
        <v>6666666666.666667</v>
      </c>
      <c r="K207" s="433">
        <f t="shared" si="127"/>
        <v>6.1311066785363933E-9</v>
      </c>
      <c r="L207" s="433">
        <f t="shared" si="118"/>
        <v>-8.2124611272756969</v>
      </c>
      <c r="M207" s="348">
        <v>25</v>
      </c>
      <c r="N207" s="434"/>
      <c r="O207" s="434" t="s">
        <v>511</v>
      </c>
      <c r="P207" s="100">
        <f>VLOOKUP(O207,References!$B$7:$F$252,5,FALSE)</f>
        <v>36</v>
      </c>
    </row>
    <row r="208" spans="1:16" ht="16" thickBot="1" x14ac:dyDescent="0.25">
      <c r="A208" s="367" t="s">
        <v>353</v>
      </c>
      <c r="B208" s="368" t="s">
        <v>354</v>
      </c>
      <c r="C208" s="369"/>
      <c r="D208" s="369"/>
      <c r="E208" s="369"/>
      <c r="F208" s="369"/>
      <c r="G208" s="594"/>
      <c r="H208" s="594"/>
      <c r="I208" s="594"/>
      <c r="J208" s="594"/>
      <c r="K208" s="594"/>
      <c r="L208" s="370"/>
      <c r="M208" s="369"/>
      <c r="N208" s="369"/>
      <c r="O208" s="75"/>
      <c r="P208" s="371"/>
    </row>
    <row r="209" spans="1:16" ht="16" x14ac:dyDescent="0.2">
      <c r="A209" s="366" t="s">
        <v>355</v>
      </c>
      <c r="B209" s="331" t="s">
        <v>356</v>
      </c>
      <c r="C209" s="331" t="s">
        <v>358</v>
      </c>
      <c r="D209" s="710">
        <v>5.6E-11</v>
      </c>
      <c r="E209" s="588" t="s">
        <v>594</v>
      </c>
      <c r="F209" s="686" t="s">
        <v>515</v>
      </c>
      <c r="G209" s="469">
        <f>IF(ISBLANK(D209),"",IF(E209="log",K209*R_Pa*(M209+273.15)*0.001,IF(E209="dimensionless",K209*R_Pa*(M209+273.15)*0.001,IF(E209="Pa-m3/mol",D209,IF(E209="log Pa-m3/mol",10^D209,IF(E209="mol/dm3-atm",I209*101325,IF(E209="atm-m3/mol",I209*101325,0)))))))</f>
        <v>5.6741999999999998E-6</v>
      </c>
      <c r="H209" s="469">
        <f>IF(ISBLANK(D209),"",1/G209)</f>
        <v>176236.29762785943</v>
      </c>
      <c r="I209" s="469">
        <f>IF(ISBLANK(D209),"",IF(E209="log",K209*R_atm*(M209+273.15)*0.001,IF(E209="dimensionless",K209*R_atm*(M209+273.15)*0.001,IF(E209="Pa-m3/mol",D209/101325,IF(E209="log Pa-m3/mol",(10^D209)/101325,IF(E209="mol/dm3-atm",1/(D209*1000),IF(E209="atm-m3/mol",D209,0)))))))</f>
        <v>5.6E-11</v>
      </c>
      <c r="J209" s="469">
        <f>IF(ISBLANK(D209),"",1/I209)</f>
        <v>17857142857.142857</v>
      </c>
      <c r="K209" s="469">
        <f>IF(ISBLANK(D209),"",IF(E209="log",10^D209,IF(E209="dimensionless",D209,I209/(R_atm*(M209+273.15)*0.001))))</f>
        <v>2.2889464933202537E-9</v>
      </c>
      <c r="L209" s="469">
        <f>IF(ISBLANK(D209),"",IF(E209="log",D209,IF(E209="dimensionless",LOG(D209),LOG(K209))))</f>
        <v>-8.6403643593251775</v>
      </c>
      <c r="M209" s="588">
        <v>25</v>
      </c>
      <c r="N209" s="678"/>
      <c r="O209" s="678" t="s">
        <v>511</v>
      </c>
      <c r="P209" s="122">
        <f>VLOOKUP(O209,References!$B$7:$F$252,5,FALSE)</f>
        <v>36</v>
      </c>
    </row>
    <row r="210" spans="1:16" ht="16" x14ac:dyDescent="0.2">
      <c r="A210" s="926" t="s">
        <v>362</v>
      </c>
      <c r="B210" s="902" t="s">
        <v>363</v>
      </c>
      <c r="C210" s="902" t="s">
        <v>365</v>
      </c>
      <c r="D210" s="697">
        <v>1.2E-9</v>
      </c>
      <c r="E210" s="348" t="s">
        <v>594</v>
      </c>
      <c r="F210" s="432" t="s">
        <v>571</v>
      </c>
      <c r="G210" s="433">
        <f>IF(ISBLANK(D210),"",IF(E210="log",K210*R_Pa*(M210+273.15)*0.001,IF(E210="dimensionless",K210*R_Pa*(M210+273.15)*0.001,IF(E210="Pa-m3/mol",D210,IF(E210="log Pa-m3/mol",10^D210,IF(E210="mol/dm3-atm",I210*101325,IF(E210="atm-m3/mol",I210*101325,0)))))))</f>
        <v>1.2158999999999999E-4</v>
      </c>
      <c r="H210" s="433">
        <f>IF(ISBLANK(D210),"",1/G210)</f>
        <v>8224.360555966774</v>
      </c>
      <c r="I210" s="433">
        <f>IF(ISBLANK(D210),"",IF(E210="log",K210*R_atm*(M210+273.15)*0.001,IF(E210="dimensionless",K210*R_atm*(M210+273.15)*0.001,IF(E210="Pa-m3/mol",D210/101325,IF(E210="log Pa-m3/mol",(10^D210)/101325,IF(E210="mol/dm3-atm",1/(D210*1000),IF(E210="atm-m3/mol",D210,0)))))))</f>
        <v>1.2E-9</v>
      </c>
      <c r="J210" s="433">
        <f>IF(ISBLANK(D210),"",1/I210)</f>
        <v>833333333.33333337</v>
      </c>
      <c r="K210" s="433">
        <f>IF(ISBLANK(D210),"",IF(E210="log",10^D210,IF(E210="dimensionless",D210,I210/(R_atm*(M210+273.15)*0.001))))</f>
        <v>4.9048853428291146E-8</v>
      </c>
      <c r="L210" s="433">
        <f>IF(ISBLANK(D210),"",IF(E210="log",D210,IF(E210="dimensionless",LOG(D210),LOG(K210))))</f>
        <v>-7.3093711402837531</v>
      </c>
      <c r="M210" s="685">
        <v>25</v>
      </c>
      <c r="N210" s="432">
        <v>7</v>
      </c>
      <c r="O210" s="434" t="s">
        <v>608</v>
      </c>
      <c r="P210" s="100">
        <f>VLOOKUP(O210,References!$B$7:$F$252,5,FALSE)</f>
        <v>103</v>
      </c>
    </row>
    <row r="211" spans="1:16" ht="16" x14ac:dyDescent="0.2">
      <c r="A211" s="927"/>
      <c r="B211" s="903"/>
      <c r="C211" s="903"/>
      <c r="D211" s="686">
        <v>2.9500000000000002E-10</v>
      </c>
      <c r="E211" s="588" t="s">
        <v>594</v>
      </c>
      <c r="F211" s="686" t="s">
        <v>515</v>
      </c>
      <c r="G211" s="469">
        <f>IF(ISBLANK(D211),"",IF(E211="log",K211*R_Pa*(M211+273.15)*0.001,IF(E211="dimensionless",K211*R_Pa*(M211+273.15)*0.001,IF(E211="Pa-m3/mol",D211,IF(E211="log Pa-m3/mol",10^D211,IF(E211="mol/dm3-atm",I211*101325,IF(E211="atm-m3/mol",I211*101325,0)))))))</f>
        <v>2.9890875E-5</v>
      </c>
      <c r="H211" s="469">
        <f>IF(ISBLANK(D211),"",1/G211)</f>
        <v>33455.025990373317</v>
      </c>
      <c r="I211" s="469">
        <f>IF(ISBLANK(D211),"",IF(E211="log",K211*R_atm*(M211+273.15)*0.001,IF(E211="dimensionless",K211*R_atm*(M211+273.15)*0.001,IF(E211="Pa-m3/mol",D211/101325,IF(E211="log Pa-m3/mol",(10^D211)/101325,IF(E211="mol/dm3-atm",1/(D211*1000),IF(E211="atm-m3/mol",D211,0)))))))</f>
        <v>2.9500000000000002E-10</v>
      </c>
      <c r="J211" s="469">
        <f>IF(ISBLANK(D211),"",1/I211)</f>
        <v>3389830508.474576</v>
      </c>
      <c r="K211" s="469">
        <f>IF(ISBLANK(D211),"",IF(E211="log",10^D211,IF(E211="dimensionless",D211,I211/(R_atm*(M211+273.15)*0.001))))</f>
        <v>1.2057843134454909E-8</v>
      </c>
      <c r="L211" s="469">
        <f>IF(ISBLANK(D211),"",IF(E211="log",D211,IF(E211="dimensionless",LOG(D211),LOG(K211))))</f>
        <v>-7.9187303703532148</v>
      </c>
      <c r="M211" s="588">
        <v>25</v>
      </c>
      <c r="N211" s="678"/>
      <c r="O211" s="678" t="s">
        <v>511</v>
      </c>
      <c r="P211" s="122">
        <f>VLOOKUP(O211,References!$B$7:$F$252,5,FALSE)</f>
        <v>36</v>
      </c>
    </row>
    <row r="212" spans="1:16" ht="17" thickBot="1" x14ac:dyDescent="0.25">
      <c r="A212" s="366" t="s">
        <v>369</v>
      </c>
      <c r="B212" s="331" t="s">
        <v>370</v>
      </c>
      <c r="C212" s="331" t="s">
        <v>372</v>
      </c>
      <c r="D212" s="432">
        <v>2.9200000000000003E-10</v>
      </c>
      <c r="E212" s="348" t="s">
        <v>594</v>
      </c>
      <c r="F212" s="432" t="s">
        <v>515</v>
      </c>
      <c r="G212" s="433">
        <f>IF(ISBLANK(D212),"",IF(E212="log",K212*R_Pa*(M212+273.15)*0.001,IF(E212="dimensionless",K212*R_Pa*(M212+273.15)*0.001,IF(E212="Pa-m3/mol",D212,IF(E212="log Pa-m3/mol",10^D212,IF(E212="mol/dm3-atm",I212*101325,IF(E212="atm-m3/mol",I212*101325,0)))))))</f>
        <v>2.9586900000000003E-5</v>
      </c>
      <c r="H212" s="433">
        <f>IF(ISBLANK(D212),"",1/G212)</f>
        <v>33798.742010822352</v>
      </c>
      <c r="I212" s="433">
        <f>IF(ISBLANK(D212),"",IF(E212="log",K212*R_atm*(M212+273.15)*0.001,IF(E212="dimensionless",K212*R_atm*(M212+273.15)*0.001,IF(E212="Pa-m3/mol",D212/101325,IF(E212="log Pa-m3/mol",(10^D212)/101325,IF(E212="mol/dm3-atm",1/(D212*1000),IF(E212="atm-m3/mol",D212,0)))))))</f>
        <v>2.9200000000000003E-10</v>
      </c>
      <c r="J212" s="433">
        <f>IF(ISBLANK(D212),"",1/I212)</f>
        <v>3424657534.2465749</v>
      </c>
      <c r="K212" s="433">
        <f>IF(ISBLANK(D212),"",IF(E212="log",10^D212,IF(E212="dimensionless",D212,I212/(R_atm*(M212+273.15)*0.001))))</f>
        <v>1.193522100088418E-8</v>
      </c>
      <c r="L212" s="433">
        <f>IF(ISBLANK(D212),"",IF(E212="log",D212,IF(E212="dimensionless",LOG(D212),LOG(K212))))</f>
        <v>-7.9231695348829598</v>
      </c>
      <c r="M212" s="348">
        <v>25</v>
      </c>
      <c r="N212" s="434"/>
      <c r="O212" s="434" t="s">
        <v>511</v>
      </c>
      <c r="P212" s="100">
        <f>VLOOKUP(O212,References!$B$7:$F$252,5,FALSE)</f>
        <v>36</v>
      </c>
    </row>
    <row r="213" spans="1:16" ht="17" thickBot="1" x14ac:dyDescent="0.25">
      <c r="A213" s="74" t="s">
        <v>376</v>
      </c>
      <c r="B213" s="162" t="s">
        <v>377</v>
      </c>
      <c r="C213" s="75"/>
      <c r="D213" s="75"/>
      <c r="E213" s="75"/>
      <c r="F213" s="75"/>
      <c r="G213" s="594"/>
      <c r="H213" s="594"/>
      <c r="I213" s="594"/>
      <c r="J213" s="594"/>
      <c r="K213" s="594"/>
      <c r="L213" s="107"/>
      <c r="M213" s="75"/>
      <c r="N213" s="75"/>
      <c r="O213" s="75"/>
      <c r="P213" s="76"/>
    </row>
    <row r="214" spans="1:16" ht="16" x14ac:dyDescent="0.2">
      <c r="A214" s="904" t="s">
        <v>378</v>
      </c>
      <c r="B214" s="897" t="s">
        <v>379</v>
      </c>
      <c r="C214" s="905" t="s">
        <v>380</v>
      </c>
      <c r="D214" s="331">
        <v>2.09</v>
      </c>
      <c r="E214" s="348" t="s">
        <v>612</v>
      </c>
      <c r="F214" s="432" t="s">
        <v>27</v>
      </c>
      <c r="G214" s="433">
        <f t="shared" ref="G214:G220" si="128">IF(ISBLANK(D214),"",IF(E214="log",K214*R_Pa*(M214+273.15)*0.001,IF(E214="dimensionless",K214*R_Pa*(M214+273.15)*0.001,IF(E214="Pa-m3/mol",D214,IF(E214="log Pa-m3/mol",10^D214,IF(E214="mol/dm3-atm",I214*101325,IF(E214="atm-m3/mol",I214*101325,0)))))))</f>
        <v>123.02687708123821</v>
      </c>
      <c r="H214" s="433">
        <f t="shared" ref="H214:H220" si="129">IF(ISBLANK(D214),"",1/G214)</f>
        <v>8.1283051616409894E-3</v>
      </c>
      <c r="I214" s="433">
        <f t="shared" ref="I214:I220" si="130">IF(ISBLANK(D214),"",IF(E214="log",K214*R_atm*(M214+273.15)*0.001,IF(E214="dimensionless",K214*R_atm*(M214+273.15)*0.001,IF(E214="Pa-m3/mol",D214/101325,IF(E214="log Pa-m3/mol",(10^D214)/101325,IF(E214="mol/dm3-atm",1/(D214*1000),IF(E214="atm-m3/mol",D214,0)))))))</f>
        <v>1.2141808742288499E-3</v>
      </c>
      <c r="J214" s="433">
        <f t="shared" ref="J214:J220" si="131">IF(ISBLANK(D214),"",1/I214)</f>
        <v>823.60052050327317</v>
      </c>
      <c r="K214" s="433">
        <f t="shared" ref="K214:K220" si="132">IF(ISBLANK(D214),"",IF(E214="log",10^D214,IF(E214="dimensionless",D214,I214/(R_atm*(M214+273.15)*0.001))))</f>
        <v>4.9628483112904395E-2</v>
      </c>
      <c r="L214" s="433">
        <f t="shared" ref="L214:L220" si="133">IF(ISBLANK(D214),"",IF(E214="log",D214,IF(E214="dimensionless",LOG(D214),LOG(K214))))</f>
        <v>-1.3042689987451082</v>
      </c>
      <c r="M214" s="348">
        <v>25</v>
      </c>
      <c r="N214" s="434"/>
      <c r="O214" s="434" t="s">
        <v>576</v>
      </c>
      <c r="P214" s="100">
        <f>VLOOKUP(O214,References!$B$7:$F$252,5,FALSE)</f>
        <v>73</v>
      </c>
    </row>
    <row r="215" spans="1:16" ht="18" customHeight="1" x14ac:dyDescent="0.2">
      <c r="A215" s="904"/>
      <c r="B215" s="897"/>
      <c r="C215" s="905"/>
      <c r="D215" s="331">
        <v>-0.03</v>
      </c>
      <c r="E215" s="331" t="s">
        <v>599</v>
      </c>
      <c r="F215" s="432" t="s">
        <v>522</v>
      </c>
      <c r="G215" s="433">
        <f t="shared" si="128"/>
        <v>2313.497309367363</v>
      </c>
      <c r="H215" s="433">
        <f t="shared" si="129"/>
        <v>4.3224601816090069E-4</v>
      </c>
      <c r="I215" s="433">
        <f t="shared" si="130"/>
        <v>2.2832443220995521E-2</v>
      </c>
      <c r="J215" s="433">
        <f t="shared" si="131"/>
        <v>43.797327790153105</v>
      </c>
      <c r="K215" s="433">
        <f t="shared" si="132"/>
        <v>0.93325430079699101</v>
      </c>
      <c r="L215" s="433">
        <f t="shared" si="133"/>
        <v>-0.03</v>
      </c>
      <c r="M215" s="331">
        <v>25</v>
      </c>
      <c r="N215" s="434"/>
      <c r="O215" s="434" t="s">
        <v>570</v>
      </c>
      <c r="P215" s="100">
        <f>VLOOKUP(O215,References!$B$7:$F$252,5,FALSE)</f>
        <v>9</v>
      </c>
    </row>
    <row r="216" spans="1:16" x14ac:dyDescent="0.2">
      <c r="A216" s="904"/>
      <c r="B216" s="897"/>
      <c r="C216" s="905"/>
      <c r="D216" s="331">
        <v>1.1200000000000001</v>
      </c>
      <c r="E216" s="331" t="s">
        <v>599</v>
      </c>
      <c r="F216" s="432" t="s">
        <v>571</v>
      </c>
      <c r="G216" s="433">
        <f t="shared" si="128"/>
        <v>32679.018088651243</v>
      </c>
      <c r="H216" s="433">
        <f t="shared" si="129"/>
        <v>3.0600674637383906E-5</v>
      </c>
      <c r="I216" s="433">
        <f t="shared" si="130"/>
        <v>0.32251683285123478</v>
      </c>
      <c r="J216" s="433">
        <f t="shared" si="131"/>
        <v>3.1006133576329127</v>
      </c>
      <c r="K216" s="433">
        <f t="shared" si="132"/>
        <v>13.182567385564075</v>
      </c>
      <c r="L216" s="433">
        <f t="shared" si="133"/>
        <v>1.1200000000000001</v>
      </c>
      <c r="M216" s="331">
        <v>25</v>
      </c>
      <c r="N216" s="434"/>
      <c r="O216" s="434" t="s">
        <v>570</v>
      </c>
      <c r="P216" s="100">
        <f>VLOOKUP(O216,References!$B$7:$F$252,5,FALSE)</f>
        <v>9</v>
      </c>
    </row>
    <row r="217" spans="1:16" ht="16" x14ac:dyDescent="0.2">
      <c r="A217" s="904"/>
      <c r="B217" s="897"/>
      <c r="C217" s="905"/>
      <c r="D217" s="348">
        <v>-1.52</v>
      </c>
      <c r="E217" s="348" t="s">
        <v>599</v>
      </c>
      <c r="F217" s="432" t="s">
        <v>27</v>
      </c>
      <c r="G217" s="433">
        <f t="shared" si="128"/>
        <v>74.863305463504005</v>
      </c>
      <c r="H217" s="433">
        <f t="shared" si="129"/>
        <v>1.3357678956448186E-2</v>
      </c>
      <c r="I217" s="433">
        <f t="shared" si="130"/>
        <v>7.388433798520039E-4</v>
      </c>
      <c r="J217" s="433">
        <f t="shared" si="131"/>
        <v>1353.4668202621074</v>
      </c>
      <c r="K217" s="433">
        <f t="shared" si="132"/>
        <v>3.0199517204020147E-2</v>
      </c>
      <c r="L217" s="433">
        <f t="shared" si="133"/>
        <v>-1.52</v>
      </c>
      <c r="M217" s="685">
        <v>25</v>
      </c>
      <c r="N217" s="434"/>
      <c r="O217" s="434" t="s">
        <v>613</v>
      </c>
      <c r="P217" s="100">
        <f>VLOOKUP(O217,References!$B$7:$F$252,5,FALSE)</f>
        <v>41</v>
      </c>
    </row>
    <row r="218" spans="1:16" ht="16" x14ac:dyDescent="0.2">
      <c r="A218" s="904"/>
      <c r="B218" s="897"/>
      <c r="C218" s="905"/>
      <c r="D218" s="348">
        <v>-1.26</v>
      </c>
      <c r="E218" s="348" t="s">
        <v>599</v>
      </c>
      <c r="F218" s="432" t="s">
        <v>30</v>
      </c>
      <c r="G218" s="433">
        <f t="shared" si="128"/>
        <v>136.22882123031974</v>
      </c>
      <c r="H218" s="433">
        <f t="shared" si="129"/>
        <v>7.3405905664361368E-3</v>
      </c>
      <c r="I218" s="433">
        <f t="shared" si="130"/>
        <v>1.3444739326949938E-3</v>
      </c>
      <c r="J218" s="433">
        <f t="shared" si="131"/>
        <v>743.78533914413879</v>
      </c>
      <c r="K218" s="433">
        <f t="shared" si="132"/>
        <v>5.4954087385762435E-2</v>
      </c>
      <c r="L218" s="433">
        <f t="shared" si="133"/>
        <v>-1.26</v>
      </c>
      <c r="M218" s="348">
        <v>25</v>
      </c>
      <c r="N218" s="434"/>
      <c r="O218" s="434" t="s">
        <v>613</v>
      </c>
      <c r="P218" s="100">
        <f>VLOOKUP(O218,References!$B$7:$F$252,5,FALSE)</f>
        <v>41</v>
      </c>
    </row>
    <row r="219" spans="1:16" ht="16" x14ac:dyDescent="0.2">
      <c r="A219" s="904"/>
      <c r="B219" s="897"/>
      <c r="C219" s="905"/>
      <c r="D219" s="348">
        <v>-2.5299999999999998</v>
      </c>
      <c r="E219" s="348" t="s">
        <v>599</v>
      </c>
      <c r="F219" s="432" t="s">
        <v>571</v>
      </c>
      <c r="G219" s="433">
        <f t="shared" si="128"/>
        <v>7.315920858272067</v>
      </c>
      <c r="H219" s="433">
        <f t="shared" si="129"/>
        <v>0.13668819269269517</v>
      </c>
      <c r="I219" s="433">
        <f t="shared" si="130"/>
        <v>7.2202525124817122E-5</v>
      </c>
      <c r="J219" s="433">
        <f t="shared" si="131"/>
        <v>13849.931124587283</v>
      </c>
      <c r="K219" s="433">
        <f t="shared" si="132"/>
        <v>2.9512092266663864E-3</v>
      </c>
      <c r="L219" s="433">
        <f t="shared" si="133"/>
        <v>-2.5299999999999998</v>
      </c>
      <c r="M219" s="685">
        <v>25</v>
      </c>
      <c r="N219" s="434"/>
      <c r="O219" s="434" t="s">
        <v>602</v>
      </c>
      <c r="P219" s="100">
        <f>VLOOKUP(O219,References!$B$7:$F$252,5,FALSE)</f>
        <v>101</v>
      </c>
    </row>
    <row r="220" spans="1:16" ht="16" x14ac:dyDescent="0.2">
      <c r="A220" s="904"/>
      <c r="B220" s="897"/>
      <c r="C220" s="905"/>
      <c r="D220" s="348">
        <v>-0.65</v>
      </c>
      <c r="E220" s="348" t="s">
        <v>599</v>
      </c>
      <c r="F220" s="432" t="s">
        <v>513</v>
      </c>
      <c r="G220" s="433">
        <f t="shared" si="128"/>
        <v>554.96935037734477</v>
      </c>
      <c r="H220" s="433">
        <f t="shared" si="129"/>
        <v>1.8019013109824209E-3</v>
      </c>
      <c r="I220" s="433">
        <f t="shared" si="130"/>
        <v>5.4771216420167468E-3</v>
      </c>
      <c r="J220" s="433">
        <f t="shared" si="131"/>
        <v>182.5776503352931</v>
      </c>
      <c r="K220" s="433">
        <f t="shared" si="132"/>
        <v>0.22387211385683392</v>
      </c>
      <c r="L220" s="433">
        <f t="shared" si="133"/>
        <v>-0.65</v>
      </c>
      <c r="M220" s="685">
        <v>25</v>
      </c>
      <c r="N220" s="434"/>
      <c r="O220" s="434" t="s">
        <v>602</v>
      </c>
      <c r="P220" s="100">
        <f>VLOOKUP(O220,References!$B$7:$F$252,5,FALSE)</f>
        <v>101</v>
      </c>
    </row>
    <row r="221" spans="1:16" x14ac:dyDescent="0.2">
      <c r="A221" s="904"/>
      <c r="B221" s="897"/>
      <c r="C221" s="905"/>
      <c r="D221" s="700">
        <v>-0.65431038529433361</v>
      </c>
      <c r="E221" s="331" t="s">
        <v>599</v>
      </c>
      <c r="F221" s="432" t="s">
        <v>513</v>
      </c>
      <c r="G221" s="433">
        <f t="shared" ref="G221:G228" si="134">IF(ISBLANK(D221),"",IF(E221="log",K221*R_Pa*(M221+273.15)*0.001,IF(E221="dimensionless",K221*R_Pa*(M221+273.15)*0.001,IF(E221="Pa-m3/mol",D221,IF(E221="log Pa-m3/mol",10^D221,IF(E221="mol/dm3-atm",I221*101325,IF(E221="atm-m3/mol",I221*101325,0)))))))</f>
        <v>549.48850727752153</v>
      </c>
      <c r="H221" s="433">
        <f t="shared" ref="H221:H273" si="135">IF(ISBLANK(D221),"",1/G221)</f>
        <v>1.8198742771792782E-3</v>
      </c>
      <c r="I221" s="433">
        <f t="shared" ref="I221:I228" si="136">IF(ISBLANK(D221),"",IF(E221="log",K221*R_atm*(M221+273.15)*0.001,IF(E221="dimensionless",K221*R_atm*(M221+273.15)*0.001,IF(E221="Pa-m3/mol",D221/101325,IF(E221="log Pa-m3/mol",(10^D221)/101325,IF(E221="mol/dm3-atm",1/(D221*1000),IF(E221="atm-m3/mol",D221,0)))))))</f>
        <v>5.4230299262523918E-3</v>
      </c>
      <c r="J221" s="433">
        <f t="shared" ref="J221:J273" si="137">IF(ISBLANK(D221),"",1/I221)</f>
        <v>184.39876113518966</v>
      </c>
      <c r="K221" s="433">
        <f t="shared" ref="K221:K228" si="138">IF(ISBLANK(D221),"",IF(E221="log",10^D221,IF(E221="dimensionless",D221,I221/(R_atm*(M221+273.15)*0.001))))</f>
        <v>0.22166116665832511</v>
      </c>
      <c r="L221" s="433">
        <f t="shared" ref="L221:L273" si="139">IF(ISBLANK(D221),"",IF(E221="log",D221,IF(E221="dimensionless",LOG(D221),LOG(K221))))</f>
        <v>-0.65431038529433361</v>
      </c>
      <c r="M221" s="348">
        <v>25</v>
      </c>
      <c r="N221" s="434"/>
      <c r="O221" s="434" t="s">
        <v>600</v>
      </c>
      <c r="P221" s="100">
        <f>VLOOKUP(O221,References!$B$7:$F$252,5,FALSE)</f>
        <v>143</v>
      </c>
    </row>
    <row r="222" spans="1:16" x14ac:dyDescent="0.2">
      <c r="A222" s="904"/>
      <c r="B222" s="897"/>
      <c r="C222" s="905"/>
      <c r="D222" s="700">
        <v>-2.50219730965707</v>
      </c>
      <c r="E222" s="331" t="s">
        <v>599</v>
      </c>
      <c r="F222" s="432" t="s">
        <v>571</v>
      </c>
      <c r="G222" s="433">
        <f t="shared" si="134"/>
        <v>7.7995884788047052</v>
      </c>
      <c r="H222" s="433">
        <f t="shared" si="135"/>
        <v>0.12821189255272747</v>
      </c>
      <c r="I222" s="433">
        <f t="shared" si="136"/>
        <v>7.6975953405425477E-5</v>
      </c>
      <c r="J222" s="433">
        <f t="shared" si="137"/>
        <v>12991.07001290506</v>
      </c>
      <c r="K222" s="433">
        <f t="shared" si="138"/>
        <v>3.1463185467380684E-3</v>
      </c>
      <c r="L222" s="433">
        <f t="shared" si="139"/>
        <v>-2.50219730965707</v>
      </c>
      <c r="M222" s="348">
        <v>25</v>
      </c>
      <c r="N222" s="434"/>
      <c r="O222" s="434" t="s">
        <v>600</v>
      </c>
      <c r="P222" s="100">
        <f>VLOOKUP(O222,References!$B$7:$F$252,5,FALSE)</f>
        <v>143</v>
      </c>
    </row>
    <row r="223" spans="1:16" x14ac:dyDescent="0.2">
      <c r="A223" s="904"/>
      <c r="B223" s="897"/>
      <c r="C223" s="905"/>
      <c r="D223" s="700">
        <v>-1.3147494361766112</v>
      </c>
      <c r="E223" s="331" t="s">
        <v>599</v>
      </c>
      <c r="F223" s="432" t="s">
        <v>522</v>
      </c>
      <c r="G223" s="433">
        <f t="shared" si="134"/>
        <v>120.09351672947794</v>
      </c>
      <c r="H223" s="433">
        <f t="shared" si="135"/>
        <v>8.3268441730505321E-3</v>
      </c>
      <c r="I223" s="433">
        <f t="shared" si="136"/>
        <v>1.1852308584207095E-3</v>
      </c>
      <c r="J223" s="433">
        <f t="shared" si="137"/>
        <v>843.71748583434203</v>
      </c>
      <c r="K223" s="433">
        <f t="shared" si="138"/>
        <v>4.8445178877804231E-2</v>
      </c>
      <c r="L223" s="433">
        <f t="shared" si="139"/>
        <v>-1.3147494361766112</v>
      </c>
      <c r="M223" s="348">
        <v>25</v>
      </c>
      <c r="N223" s="434"/>
      <c r="O223" s="434" t="s">
        <v>600</v>
      </c>
      <c r="P223" s="100">
        <f>VLOOKUP(O223,References!$B$7:$F$252,5,FALSE)</f>
        <v>143</v>
      </c>
    </row>
    <row r="224" spans="1:16" x14ac:dyDescent="0.2">
      <c r="A224" s="904"/>
      <c r="B224" s="897"/>
      <c r="C224" s="905"/>
      <c r="D224" s="700">
        <v>0.2302449999999997</v>
      </c>
      <c r="E224" s="331" t="s">
        <v>599</v>
      </c>
      <c r="F224" s="432" t="s">
        <v>514</v>
      </c>
      <c r="G224" s="433">
        <f t="shared" si="134"/>
        <v>4212.2486400341413</v>
      </c>
      <c r="H224" s="433">
        <f t="shared" si="135"/>
        <v>2.3740288987116742E-4</v>
      </c>
      <c r="I224" s="433">
        <f t="shared" si="136"/>
        <v>4.1571661880425922E-2</v>
      </c>
      <c r="J224" s="433">
        <f t="shared" si="137"/>
        <v>24.054847816195952</v>
      </c>
      <c r="K224" s="433">
        <f t="shared" si="138"/>
        <v>1.6992019586195743</v>
      </c>
      <c r="L224" s="433">
        <f t="shared" si="139"/>
        <v>0.2302449999999997</v>
      </c>
      <c r="M224" s="348">
        <v>25</v>
      </c>
      <c r="N224" s="434"/>
      <c r="O224" s="434" t="s">
        <v>600</v>
      </c>
      <c r="P224" s="100">
        <f>VLOOKUP(O224,References!$B$7:$F$252,5,FALSE)</f>
        <v>143</v>
      </c>
    </row>
    <row r="225" spans="1:18" x14ac:dyDescent="0.2">
      <c r="A225" s="904"/>
      <c r="B225" s="897"/>
      <c r="C225" s="905"/>
      <c r="D225" s="331">
        <v>151</v>
      </c>
      <c r="E225" s="331" t="s">
        <v>597</v>
      </c>
      <c r="F225" s="432" t="s">
        <v>27</v>
      </c>
      <c r="G225" s="433">
        <f t="shared" si="134"/>
        <v>151</v>
      </c>
      <c r="H225" s="433">
        <f t="shared" si="135"/>
        <v>6.6225165562913907E-3</v>
      </c>
      <c r="I225" s="433">
        <f t="shared" si="136"/>
        <v>1.4902541327411795E-3</v>
      </c>
      <c r="J225" s="433">
        <f t="shared" si="137"/>
        <v>671.02649006622516</v>
      </c>
      <c r="K225" s="433">
        <f t="shared" si="138"/>
        <v>6.0912713773106045E-2</v>
      </c>
      <c r="L225" s="433">
        <f t="shared" si="139"/>
        <v>-1.215292051451939</v>
      </c>
      <c r="M225" s="348">
        <v>25</v>
      </c>
      <c r="N225" s="434"/>
      <c r="O225" s="434" t="s">
        <v>614</v>
      </c>
      <c r="P225" s="100">
        <f>VLOOKUP(O225,References!$B$7:$F$252,5,FALSE)</f>
        <v>133</v>
      </c>
    </row>
    <row r="226" spans="1:18" x14ac:dyDescent="0.2">
      <c r="A226" s="904"/>
      <c r="B226" s="897"/>
      <c r="C226" s="905"/>
      <c r="D226" s="331">
        <v>1.26</v>
      </c>
      <c r="E226" s="331" t="s">
        <v>599</v>
      </c>
      <c r="F226" s="432" t="s">
        <v>601</v>
      </c>
      <c r="G226" s="433">
        <f>IF(ISBLANK(D226),"",IF(E226="log",K226*R_Pa*(M226+273.15)*0.001,IF(E226="dimensionless",K226*R_Pa*(M226+273.15)*0.001,IF(E226="Pa-m3/mol",D226,IF(E226="log Pa-m3/mol",10^D226,IF(E226="mol/dm3-atm",I226*101325,IF(E226="atm-m3/mol",I226*101325,0)))))))</f>
        <v>45109.602352247224</v>
      </c>
      <c r="H226" s="433">
        <f>IF(ISBLANK(D226),"",1/G226)</f>
        <v>2.2168229109875604E-5</v>
      </c>
      <c r="I226" s="433">
        <f>IF(ISBLANK(D226),"",IF(E226="log",K226*R_atm*(M226+273.15)*0.001,IF(E226="dimensionless",K226*R_atm*(M226+273.15)*0.001,IF(E226="Pa-m3/mol",D226/101325,IF(E226="log Pa-m3/mol",(10^D226)/101325,IF(E226="mol/dm3-atm",1/(D226*1000),IF(E226="atm-m3/mol",D226,0)))))))</f>
        <v>0.44519716113740332</v>
      </c>
      <c r="J226" s="433">
        <f>IF(ISBLANK(D226),"",1/I226)</f>
        <v>2.2461958145581375</v>
      </c>
      <c r="K226" s="433">
        <f>IF(ISBLANK(D226),"",IF(E226="log",10^D226,IF(E226="dimensionless",D226,I226/(R_atm*(M226+273.15)*0.001))))</f>
        <v>18.197008586099841</v>
      </c>
      <c r="L226" s="433">
        <f>IF(ISBLANK(D226),"",IF(E226="log",D226,IF(E226="dimensionless",LOG(D226),LOG(K226))))</f>
        <v>1.26</v>
      </c>
      <c r="M226" s="331">
        <v>25</v>
      </c>
      <c r="N226" s="434"/>
      <c r="O226" s="434" t="s">
        <v>525</v>
      </c>
      <c r="P226" s="100">
        <f>VLOOKUP(O226,References!$B$7:$F$252,5,FALSE)</f>
        <v>61</v>
      </c>
    </row>
    <row r="227" spans="1:18" x14ac:dyDescent="0.2">
      <c r="A227" s="904"/>
      <c r="B227" s="897"/>
      <c r="C227" s="905"/>
      <c r="D227" s="331">
        <v>0.31</v>
      </c>
      <c r="E227" s="331" t="s">
        <v>595</v>
      </c>
      <c r="F227" s="432" t="s">
        <v>27</v>
      </c>
      <c r="G227" s="433">
        <f>IF(ISBLANK(D227),"",IF(E227="log",K227*R_Pa*(M227+273.15)*0.001,IF(E227="dimensionless",K227*R_Pa*(M227+273.15)*0.001,IF(E227="Pa-m3/mol",D227,IF(E227="log Pa-m3/mol",10^D227,IF(E227="mol/dm3-atm",I227*101325,IF(E227="atm-m3/mol",I227*101325,0)))))))</f>
        <v>768.4766791767405</v>
      </c>
      <c r="H227" s="433">
        <f>IF(ISBLANK(D227),"",1/G227)</f>
        <v>1.3012756627452735E-3</v>
      </c>
      <c r="I227" s="433">
        <f>IF(ISBLANK(D227),"",IF(E227="log",K227*R_atm*(M227+273.15)*0.001,IF(E227="dimensionless",K227*R_atm*(M227+273.15)*0.001,IF(E227="Pa-m3/mol",D227/101325,IF(E227="log Pa-m3/mol",(10^D227)/101325,IF(E227="mol/dm3-atm",1/(D227*1000),IF(E227="atm-m3/mol",D227,0)))))))</f>
        <v>7.5842751460818486E-3</v>
      </c>
      <c r="J227" s="433">
        <f>IF(ISBLANK(D227),"",1/I227)</f>
        <v>131.85175652766438</v>
      </c>
      <c r="K227" s="433">
        <f>IF(ISBLANK(D227),"",IF(E227="log",10^D227,IF(E227="dimensionless",D227,I227/(R_atm*(M227+273.15)*0.001))))</f>
        <v>0.31</v>
      </c>
      <c r="L227" s="433">
        <f>IF(ISBLANK(D227),"",IF(E227="log",D227,IF(E227="dimensionless",LOG(D227),LOG(K227))))</f>
        <v>-0.50863830616572736</v>
      </c>
      <c r="M227" s="331">
        <v>25</v>
      </c>
      <c r="N227" s="432">
        <v>6.59</v>
      </c>
      <c r="O227" s="434" t="s">
        <v>609</v>
      </c>
      <c r="P227" s="100">
        <f>VLOOKUP(O227,References!$B$7:$F$252,5,FALSE)</f>
        <v>4</v>
      </c>
    </row>
    <row r="228" spans="1:18" ht="16" x14ac:dyDescent="0.2">
      <c r="A228" s="904"/>
      <c r="B228" s="897"/>
      <c r="C228" s="905"/>
      <c r="D228" s="589">
        <v>2.64E-9</v>
      </c>
      <c r="E228" s="588" t="s">
        <v>594</v>
      </c>
      <c r="F228" s="686" t="s">
        <v>515</v>
      </c>
      <c r="G228" s="469">
        <f t="shared" si="134"/>
        <v>2.6749800000000002E-4</v>
      </c>
      <c r="H228" s="469">
        <f t="shared" si="135"/>
        <v>3738.3457072576239</v>
      </c>
      <c r="I228" s="469">
        <f t="shared" si="136"/>
        <v>2.64E-9</v>
      </c>
      <c r="J228" s="469">
        <f t="shared" si="137"/>
        <v>378787878.78787881</v>
      </c>
      <c r="K228" s="469">
        <f t="shared" si="138"/>
        <v>1.0790747754224053E-7</v>
      </c>
      <c r="L228" s="469">
        <f t="shared" si="139"/>
        <v>-6.9669484594615465</v>
      </c>
      <c r="M228" s="588">
        <v>25</v>
      </c>
      <c r="N228" s="678"/>
      <c r="O228" s="678" t="s">
        <v>511</v>
      </c>
      <c r="P228" s="122">
        <f>VLOOKUP(O228,References!$B$7:$F$252,5,FALSE)</f>
        <v>36</v>
      </c>
    </row>
    <row r="229" spans="1:18" ht="16" x14ac:dyDescent="0.2">
      <c r="A229" s="898" t="s">
        <v>386</v>
      </c>
      <c r="B229" s="900" t="s">
        <v>387</v>
      </c>
      <c r="C229" s="902" t="s">
        <v>388</v>
      </c>
      <c r="D229" s="348">
        <v>1.92</v>
      </c>
      <c r="E229" s="348" t="s">
        <v>612</v>
      </c>
      <c r="F229" s="432" t="s">
        <v>27</v>
      </c>
      <c r="G229" s="433">
        <f>IF(ISBLANK(D229),"",IF(E229="log",K229*R_Pa*(M229+273.15)*0.001,IF(E229="dimensionless",K229*R_Pa*(M229+273.15)*0.001,IF(E229="Pa-m3/mol",D229,IF(E229="log Pa-m3/mol",10^D229,IF(E229="mol/dm3-atm",I229*101325,IF(E229="atm-m3/mol",I229*101325,0)))))))</f>
        <v>83.176377110267126</v>
      </c>
      <c r="H229" s="433">
        <f>IF(ISBLANK(D229),"",1/G229)</f>
        <v>1.2022644346174125E-2</v>
      </c>
      <c r="I229" s="433">
        <f>IF(ISBLANK(D229),"",IF(E229="log",K229*R_atm*(M229+273.15)*0.001,IF(E229="dimensionless",K229*R_atm*(M229+273.15)*0.001,IF(E229="Pa-m3/mol",D229/101325,IF(E229="log Pa-m3/mol",(10^D229)/101325,IF(E229="mol/dm3-atm",1/(D229*1000),IF(E229="atm-m3/mol",D229,0)))))))</f>
        <v>8.2088701811267831E-4</v>
      </c>
      <c r="J229" s="433">
        <f>IF(ISBLANK(D229),"",1/I229)</f>
        <v>1218.1944383760931</v>
      </c>
      <c r="K229" s="433">
        <f>IF(ISBLANK(D229),"",IF(E229="log",10^D229,IF(E229="dimensionless",D229,I229/(R_atm*(M229+273.15)*0.001))))</f>
        <v>3.3552972527163119E-2</v>
      </c>
      <c r="L229" s="433">
        <f>IF(ISBLANK(D229),"",IF(E229="log",D229,IF(E229="dimensionless",LOG(D229),LOG(K229))))</f>
        <v>-1.4742689987451083</v>
      </c>
      <c r="M229" s="348">
        <v>25</v>
      </c>
      <c r="N229" s="434"/>
      <c r="O229" s="434" t="s">
        <v>576</v>
      </c>
      <c r="P229" s="100">
        <f>VLOOKUP(O229,References!$B$7:$F$252,5,FALSE)</f>
        <v>73</v>
      </c>
    </row>
    <row r="230" spans="1:18" ht="18" customHeight="1" x14ac:dyDescent="0.2">
      <c r="A230" s="904"/>
      <c r="B230" s="897"/>
      <c r="C230" s="905"/>
      <c r="D230" s="348">
        <v>-0.56000000000000005</v>
      </c>
      <c r="E230" s="348" t="s">
        <v>599</v>
      </c>
      <c r="F230" s="432" t="s">
        <v>27</v>
      </c>
      <c r="G230" s="433">
        <f>IF(ISBLANK(D230),"",IF(E230="log",K230*R_Pa*(M230+273.15)*0.001,IF(E230="dimensionless",K230*R_Pa*(M230+273.15)*0.001,IF(E230="Pa-m3/mol",D230,IF(E230="log Pa-m3/mol",10^D230,IF(E230="mol/dm3-atm",I230*101325,IF(E230="atm-m3/mol",I230*101325,0)))))))</f>
        <v>682.76146052728188</v>
      </c>
      <c r="H230" s="433">
        <f>IF(ISBLANK(D230),"",1/G230)</f>
        <v>1.4646403726826082E-3</v>
      </c>
      <c r="I230" s="433">
        <f>IF(ISBLANK(D230),"",IF(E230="log",K230*R_atm*(M230+273.15)*0.001,IF(E230="dimensionless",K230*R_atm*(M230+273.15)*0.001,IF(E230="Pa-m3/mol",D230/101325,IF(E230="log Pa-m3/mol",(10^D230)/101325,IF(E230="mol/dm3-atm",1/(D230*1000),IF(E230="atm-m3/mol",D230,0)))))))</f>
        <v>6.738331710113836E-3</v>
      </c>
      <c r="J230" s="433">
        <f>IF(ISBLANK(D230),"",1/I230)</f>
        <v>148.40468576206473</v>
      </c>
      <c r="K230" s="433">
        <f>IF(ISBLANK(D230),"",IF(E230="log",10^D230,IF(E230="dimensionless",D230,I230/(R_atm*(M230+273.15)*0.001))))</f>
        <v>0.27542287033381663</v>
      </c>
      <c r="L230" s="433">
        <f>IF(ISBLANK(D230),"",IF(E230="log",D230,IF(E230="dimensionless",LOG(D230),LOG(K230))))</f>
        <v>-0.56000000000000005</v>
      </c>
      <c r="M230" s="685">
        <v>25</v>
      </c>
      <c r="N230" s="434"/>
      <c r="O230" s="434" t="s">
        <v>613</v>
      </c>
      <c r="P230" s="100">
        <f>VLOOKUP(O230,References!$B$7:$F$252,5,FALSE)</f>
        <v>41</v>
      </c>
    </row>
    <row r="231" spans="1:18" ht="16" x14ac:dyDescent="0.2">
      <c r="A231" s="904"/>
      <c r="B231" s="897"/>
      <c r="C231" s="905"/>
      <c r="D231" s="348">
        <f>-0.67</f>
        <v>-0.67</v>
      </c>
      <c r="E231" s="348" t="s">
        <v>599</v>
      </c>
      <c r="F231" s="432" t="s">
        <v>30</v>
      </c>
      <c r="G231" s="433">
        <f>IF(ISBLANK(D231),"",IF(E231="log",K231*R_Pa*(M231+273.15)*0.001,IF(E231="dimensionless",K231*R_Pa*(M231+273.15)*0.001,IF(E231="Pa-m3/mol",D231,IF(E231="log Pa-m3/mol",10^D231,IF(E231="mol/dm3-atm",I231*101325,IF(E231="atm-m3/mol",I231*101325,0)))))))</f>
        <v>529.99161507949668</v>
      </c>
      <c r="H231" s="433">
        <f>IF(ISBLANK(D231),"",1/G231)</f>
        <v>1.8868223035000355E-3</v>
      </c>
      <c r="I231" s="433">
        <f>IF(ISBLANK(D231),"",IF(E231="log",K231*R_atm*(M231+273.15)*0.001,IF(E231="dimensionless",K231*R_atm*(M231+273.15)*0.001,IF(E231="Pa-m3/mol",D231/101325,IF(E231="log Pa-m3/mol",(10^D231)/101325,IF(E231="mol/dm3-atm",1/(D231*1000),IF(E231="atm-m3/mol",D231,0)))))))</f>
        <v>5.2306105608635458E-3</v>
      </c>
      <c r="J231" s="433">
        <f>IF(ISBLANK(D231),"",1/I231)</f>
        <v>191.18226990214032</v>
      </c>
      <c r="K231" s="433">
        <f>IF(ISBLANK(D231),"",IF(E231="log",10^D231,IF(E231="dimensionless",D231,I231/(R_atm*(M231+273.15)*0.001))))</f>
        <v>0.21379620895022314</v>
      </c>
      <c r="L231" s="433">
        <f>IF(ISBLANK(D231),"",IF(E231="log",D231,IF(E231="dimensionless",LOG(D231),LOG(K231))))</f>
        <v>-0.67</v>
      </c>
      <c r="M231" s="348">
        <v>25</v>
      </c>
      <c r="N231" s="434"/>
      <c r="O231" s="434" t="s">
        <v>613</v>
      </c>
      <c r="P231" s="100">
        <f>VLOOKUP(O231,References!$B$7:$F$252,5,FALSE)</f>
        <v>41</v>
      </c>
    </row>
    <row r="232" spans="1:18" x14ac:dyDescent="0.2">
      <c r="A232" s="904"/>
      <c r="B232" s="897"/>
      <c r="C232" s="905"/>
      <c r="D232" s="331">
        <v>0.16</v>
      </c>
      <c r="E232" s="331" t="s">
        <v>599</v>
      </c>
      <c r="F232" s="432" t="s">
        <v>522</v>
      </c>
      <c r="G232" s="433">
        <f>IF(ISBLANK(D232),"",IF(E232="log",K232*R_Pa*(M232+273.15)*0.001,IF(E232="dimensionless",K232*R_Pa*(M232+273.15)*0.001,IF(E232="Pa-m3/mol",D232,IF(E232="log Pa-m3/mol",10^D232,IF(E232="mol/dm3-atm",I232*101325,IF(E232="atm-m3/mol",I232*101325,0)))))))</f>
        <v>3583.1830805574814</v>
      </c>
      <c r="H232" s="433">
        <f>IF(ISBLANK(D232),"",1/G232)</f>
        <v>2.7908146960897609E-4</v>
      </c>
      <c r="I232" s="433">
        <f>IF(ISBLANK(D232),"",IF(E232="log",K232*R_atm*(M232+273.15)*0.001,IF(E232="dimensionless",K232*R_atm*(M232+273.15)*0.001,IF(E232="Pa-m3/mol",D232/101325,IF(E232="log Pa-m3/mol",(10^D232)/101325,IF(E232="mol/dm3-atm",1/(D232*1000),IF(E232="atm-m3/mol",D232,0)))))))</f>
        <v>3.5363267511053495E-2</v>
      </c>
      <c r="J232" s="433">
        <f>IF(ISBLANK(D232),"",1/I232)</f>
        <v>28.277929908129391</v>
      </c>
      <c r="K232" s="433">
        <f>IF(ISBLANK(D232),"",IF(E232="log",10^D232,IF(E232="dimensionless",D232,I232/(R_atm*(M232+273.15)*0.001))))</f>
        <v>1.4454397707459274</v>
      </c>
      <c r="L232" s="433">
        <f>IF(ISBLANK(D232),"",IF(E232="log",D232,IF(E232="dimensionless",LOG(D232),LOG(K232))))</f>
        <v>0.16</v>
      </c>
      <c r="M232" s="331">
        <v>25</v>
      </c>
      <c r="N232" s="434"/>
      <c r="O232" s="434" t="s">
        <v>570</v>
      </c>
      <c r="P232" s="100">
        <f>VLOOKUP(O232,References!$B$7:$F$252,5,FALSE)</f>
        <v>9</v>
      </c>
    </row>
    <row r="233" spans="1:18" x14ac:dyDescent="0.2">
      <c r="A233" s="904"/>
      <c r="B233" s="897"/>
      <c r="C233" s="905"/>
      <c r="D233" s="331">
        <v>1.36</v>
      </c>
      <c r="E233" s="331" t="s">
        <v>599</v>
      </c>
      <c r="F233" s="432" t="s">
        <v>571</v>
      </c>
      <c r="G233" s="433">
        <f>IF(ISBLANK(D233),"",IF(E233="log",K233*R_Pa*(M233+273.15)*0.001,IF(E233="dimensionless",K233*R_Pa*(M233+273.15)*0.001,IF(E233="Pa-m3/mol",D233,IF(E233="log Pa-m3/mol",10^D233,IF(E233="mol/dm3-atm",I233*101325,IF(E233="atm-m3/mol",I233*101325,0)))))))</f>
        <v>56789.624717173967</v>
      </c>
      <c r="H233" s="433">
        <f>IF(ISBLANK(D233),"",1/G233)</f>
        <v>1.7608850295810922E-5</v>
      </c>
      <c r="I233" s="433">
        <f>IF(ISBLANK(D233),"",IF(E233="log",K233*R_atm*(M233+273.15)*0.001,IF(E233="dimensionless",K233*R_atm*(M233+273.15)*0.001,IF(E233="Pa-m3/mol",D233/101325,IF(E233="log Pa-m3/mol",(10^D233)/101325,IF(E233="mol/dm3-atm",1/(D233*1000),IF(E233="atm-m3/mol",D233,0)))))))</f>
        <v>0.56047001941449959</v>
      </c>
      <c r="J233" s="433">
        <f>IF(ISBLANK(D233),"",1/I233)</f>
        <v>1.7842167562230351</v>
      </c>
      <c r="K233" s="433">
        <f>IF(ISBLANK(D233),"",IF(E233="log",10^D233,IF(E233="dimensionless",D233,I233/(R_atm*(M233+273.15)*0.001))))</f>
        <v>22.908676527677738</v>
      </c>
      <c r="L233" s="433">
        <f>IF(ISBLANK(D233),"",IF(E233="log",D233,IF(E233="dimensionless",LOG(D233),LOG(K233))))</f>
        <v>1.36</v>
      </c>
      <c r="M233" s="331">
        <v>25</v>
      </c>
      <c r="N233" s="434"/>
      <c r="O233" s="434" t="s">
        <v>570</v>
      </c>
      <c r="P233" s="100">
        <f>VLOOKUP(O233,References!$B$7:$F$252,5,FALSE)</f>
        <v>9</v>
      </c>
    </row>
    <row r="234" spans="1:18" ht="16" x14ac:dyDescent="0.2">
      <c r="A234" s="904"/>
      <c r="B234" s="897"/>
      <c r="C234" s="905"/>
      <c r="D234" s="348">
        <v>-1.44</v>
      </c>
      <c r="E234" s="348" t="s">
        <v>599</v>
      </c>
      <c r="F234" s="432" t="s">
        <v>571</v>
      </c>
      <c r="G234" s="433">
        <f t="shared" ref="G234:G244" si="140">IF(ISBLANK(D234),"",IF(E234="log",K234*R_Pa*(M234+273.15)*0.001,IF(E234="dimensionless",K234*R_Pa*(M234+273.15)*0.001,IF(E234="Pa-m3/mol",D234,IF(E234="log Pa-m3/mol",10^D234,IF(E234="mol/dm3-atm",I234*101325,IF(E234="atm-m3/mol",I234*101325,0)))))))</f>
        <v>90.005489616670374</v>
      </c>
      <c r="H234" s="433">
        <f t="shared" si="135"/>
        <v>1.1110433421994128E-2</v>
      </c>
      <c r="I234" s="433">
        <f t="shared" ref="I234:I244" si="141">IF(ISBLANK(D234),"",IF(E234="log",K234*R_atm*(M234+273.15)*0.001,IF(E234="dimensionless",K234*R_atm*(M234+273.15)*0.001,IF(E234="Pa-m3/mol",D234/101325,IF(E234="log Pa-m3/mol",(10^D234)/101325,IF(E234="mol/dm3-atm",1/(D234*1000),IF(E234="atm-m3/mol",D234,0)))))))</f>
        <v>8.8828511834858825E-4</v>
      </c>
      <c r="J234" s="433">
        <f t="shared" si="137"/>
        <v>1125.7646664835509</v>
      </c>
      <c r="K234" s="433">
        <f t="shared" ref="K234:K244" si="142">IF(ISBLANK(D234),"",IF(E234="log",10^D234,IF(E234="dimensionless",D234,I234/(R_atm*(M234+273.15)*0.001))))</f>
        <v>3.6307805477010131E-2</v>
      </c>
      <c r="L234" s="433">
        <f t="shared" si="139"/>
        <v>-1.44</v>
      </c>
      <c r="M234" s="685">
        <v>25</v>
      </c>
      <c r="N234" s="434"/>
      <c r="O234" s="434" t="s">
        <v>602</v>
      </c>
      <c r="P234" s="100">
        <f>VLOOKUP(O234,References!$B$7:$F$252,5,FALSE)</f>
        <v>101</v>
      </c>
    </row>
    <row r="235" spans="1:18" ht="16" x14ac:dyDescent="0.2">
      <c r="A235" s="904"/>
      <c r="B235" s="897"/>
      <c r="C235" s="905"/>
      <c r="D235" s="348">
        <v>0.79</v>
      </c>
      <c r="E235" s="348" t="s">
        <v>599</v>
      </c>
      <c r="F235" s="432" t="s">
        <v>513</v>
      </c>
      <c r="G235" s="433">
        <f t="shared" ref="G235:G241" si="143">IF(ISBLANK(D235),"",IF(E235="log",K235*R_Pa*(M235+273.15)*0.001,IF(E235="dimensionless",K235*R_Pa*(M235+273.15)*0.001,IF(E235="Pa-m3/mol",D235,IF(E235="log Pa-m3/mol",10^D235,IF(E235="mol/dm3-atm",I235*101325,IF(E235="atm-m3/mol",I235*101325,0)))))))</f>
        <v>15285.125142822193</v>
      </c>
      <c r="H235" s="433">
        <f t="shared" si="135"/>
        <v>6.5423082287919263E-5</v>
      </c>
      <c r="I235" s="433">
        <f t="shared" ref="I235:I241" si="144">IF(ISBLANK(D235),"",IF(E235="log",K235*R_atm*(M235+273.15)*0.001,IF(E235="dimensionless",K235*R_atm*(M235+273.15)*0.001,IF(E235="Pa-m3/mol",D235/101325,IF(E235="log Pa-m3/mol",(10^D235)/101325,IF(E235="mol/dm3-atm",1/(D235*1000),IF(E235="atm-m3/mol",D235,0)))))))</f>
        <v>0.15085245638117198</v>
      </c>
      <c r="J235" s="433">
        <f t="shared" si="137"/>
        <v>6.6289938128233938</v>
      </c>
      <c r="K235" s="433">
        <f t="shared" ref="K235:K241" si="145">IF(ISBLANK(D235),"",IF(E235="log",10^D235,IF(E235="dimensionless",D235,I235/(R_atm*(M235+273.15)*0.001))))</f>
        <v>6.1659500186148231</v>
      </c>
      <c r="L235" s="433">
        <f t="shared" si="139"/>
        <v>0.79</v>
      </c>
      <c r="M235" s="685">
        <v>25</v>
      </c>
      <c r="N235" s="434"/>
      <c r="O235" s="434" t="s">
        <v>602</v>
      </c>
      <c r="P235" s="100">
        <f>VLOOKUP(O235,References!$B$7:$F$252,5,FALSE)</f>
        <v>101</v>
      </c>
    </row>
    <row r="236" spans="1:18" x14ac:dyDescent="0.2">
      <c r="A236" s="904"/>
      <c r="B236" s="897"/>
      <c r="C236" s="905"/>
      <c r="D236" s="700">
        <v>0.78778158722296066</v>
      </c>
      <c r="E236" s="331" t="s">
        <v>599</v>
      </c>
      <c r="F236" s="432" t="s">
        <v>513</v>
      </c>
      <c r="G236" s="433">
        <f t="shared" si="143"/>
        <v>15207.246511370528</v>
      </c>
      <c r="H236" s="433">
        <f t="shared" ref="H236:H241" si="146">IF(ISBLANK(D236),"",1/G236)</f>
        <v>6.5758123882077898E-5</v>
      </c>
      <c r="I236" s="433">
        <f t="shared" si="144"/>
        <v>0.15008385404757549</v>
      </c>
      <c r="J236" s="433">
        <f t="shared" ref="J236:J241" si="147">IF(ISBLANK(D236),"",1/I236)</f>
        <v>6.6629419023515171</v>
      </c>
      <c r="K236" s="433">
        <f t="shared" si="145"/>
        <v>6.134534132610475</v>
      </c>
      <c r="L236" s="433">
        <f t="shared" ref="L236:L241" si="148">IF(ISBLANK(D236),"",IF(E236="log",D236,IF(E236="dimensionless",LOG(D236),LOG(K236))))</f>
        <v>0.78778158722296066</v>
      </c>
      <c r="M236" s="348">
        <v>25</v>
      </c>
      <c r="N236" s="434"/>
      <c r="O236" s="434" t="s">
        <v>600</v>
      </c>
      <c r="P236" s="100">
        <f>VLOOKUP(O236,References!$B$7:$F$252,5,FALSE)</f>
        <v>143</v>
      </c>
      <c r="R236" s="542"/>
    </row>
    <row r="237" spans="1:18" x14ac:dyDescent="0.2">
      <c r="A237" s="904"/>
      <c r="B237" s="897"/>
      <c r="C237" s="905"/>
      <c r="D237" s="700">
        <v>-1.3742193640368701</v>
      </c>
      <c r="E237" s="331" t="s">
        <v>599</v>
      </c>
      <c r="F237" s="432" t="s">
        <v>571</v>
      </c>
      <c r="G237" s="433">
        <f t="shared" si="143"/>
        <v>104.72482292631852</v>
      </c>
      <c r="H237" s="433">
        <f t="shared" si="146"/>
        <v>9.5488344793246607E-3</v>
      </c>
      <c r="I237" s="433">
        <f t="shared" si="144"/>
        <v>1.0335536434869866E-3</v>
      </c>
      <c r="J237" s="433">
        <f t="shared" si="147"/>
        <v>967.53565361756762</v>
      </c>
      <c r="K237" s="433">
        <f t="shared" si="145"/>
        <v>4.2245517641391242E-2</v>
      </c>
      <c r="L237" s="433">
        <f t="shared" si="148"/>
        <v>-1.3742193640368701</v>
      </c>
      <c r="M237" s="348">
        <v>25</v>
      </c>
      <c r="N237" s="434"/>
      <c r="O237" s="434" t="s">
        <v>600</v>
      </c>
      <c r="P237" s="100">
        <f>VLOOKUP(O237,References!$B$7:$F$252,5,FALSE)</f>
        <v>143</v>
      </c>
    </row>
    <row r="238" spans="1:18" x14ac:dyDescent="0.2">
      <c r="A238" s="904"/>
      <c r="B238" s="897"/>
      <c r="C238" s="905"/>
      <c r="D238" s="700">
        <v>-0.9307494361766111</v>
      </c>
      <c r="E238" s="331" t="s">
        <v>599</v>
      </c>
      <c r="F238" s="432" t="s">
        <v>522</v>
      </c>
      <c r="G238" s="433">
        <f t="shared" si="143"/>
        <v>290.74989232676336</v>
      </c>
      <c r="H238" s="433">
        <f t="shared" si="146"/>
        <v>3.4393821851398517E-3</v>
      </c>
      <c r="I238" s="433">
        <f t="shared" si="144"/>
        <v>2.8694783353245944E-3</v>
      </c>
      <c r="J238" s="433">
        <f t="shared" si="147"/>
        <v>348.49539990929406</v>
      </c>
      <c r="K238" s="433">
        <f t="shared" si="145"/>
        <v>0.11728718523749407</v>
      </c>
      <c r="L238" s="433">
        <f t="shared" si="148"/>
        <v>-0.9307494361766111</v>
      </c>
      <c r="M238" s="348">
        <v>25</v>
      </c>
      <c r="N238" s="434"/>
      <c r="O238" s="434" t="s">
        <v>600</v>
      </c>
      <c r="P238" s="100">
        <f>VLOOKUP(O238,References!$B$7:$F$252,5,FALSE)</f>
        <v>143</v>
      </c>
    </row>
    <row r="239" spans="1:18" x14ac:dyDescent="0.2">
      <c r="A239" s="904"/>
      <c r="B239" s="897"/>
      <c r="C239" s="905"/>
      <c r="D239" s="700">
        <v>1.6088550000000001</v>
      </c>
      <c r="E239" s="331" t="s">
        <v>599</v>
      </c>
      <c r="F239" s="432" t="s">
        <v>514</v>
      </c>
      <c r="G239" s="433">
        <f t="shared" si="143"/>
        <v>100721.92066743325</v>
      </c>
      <c r="H239" s="433">
        <f t="shared" si="146"/>
        <v>9.9283253672438478E-6</v>
      </c>
      <c r="I239" s="433">
        <f t="shared" si="144"/>
        <v>0.99404806975014681</v>
      </c>
      <c r="J239" s="433">
        <f t="shared" si="147"/>
        <v>1.0059875678359791</v>
      </c>
      <c r="K239" s="433">
        <f t="shared" si="145"/>
        <v>40.630765061542235</v>
      </c>
      <c r="L239" s="433">
        <f t="shared" si="148"/>
        <v>1.6088550000000001</v>
      </c>
      <c r="M239" s="348">
        <v>25</v>
      </c>
      <c r="N239" s="434"/>
      <c r="O239" s="434" t="s">
        <v>600</v>
      </c>
      <c r="P239" s="100">
        <f>VLOOKUP(O239,References!$B$7:$F$252,5,FALSE)</f>
        <v>143</v>
      </c>
    </row>
    <row r="240" spans="1:18" x14ac:dyDescent="0.2">
      <c r="A240" s="904"/>
      <c r="B240" s="897"/>
      <c r="C240" s="905"/>
      <c r="D240" s="331">
        <v>5726</v>
      </c>
      <c r="E240" s="331" t="s">
        <v>597</v>
      </c>
      <c r="F240" s="432" t="s">
        <v>27</v>
      </c>
      <c r="G240" s="433">
        <f t="shared" si="143"/>
        <v>5726</v>
      </c>
      <c r="H240" s="433">
        <f t="shared" si="146"/>
        <v>1.7464198393293747E-4</v>
      </c>
      <c r="I240" s="433">
        <f t="shared" si="144"/>
        <v>5.6511226252158896E-2</v>
      </c>
      <c r="J240" s="433">
        <f t="shared" si="147"/>
        <v>17.695599022004888</v>
      </c>
      <c r="K240" s="433">
        <f t="shared" si="145"/>
        <v>2.3098423779126174</v>
      </c>
      <c r="L240" s="433">
        <f t="shared" si="148"/>
        <v>0.36358234494047142</v>
      </c>
      <c r="M240" s="348">
        <v>25</v>
      </c>
      <c r="N240" s="434"/>
      <c r="O240" s="434" t="s">
        <v>614</v>
      </c>
      <c r="P240" s="100">
        <f>VLOOKUP(O240,References!$B$7:$F$252,5,FALSE)</f>
        <v>133</v>
      </c>
    </row>
    <row r="241" spans="1:16" x14ac:dyDescent="0.2">
      <c r="A241" s="904"/>
      <c r="B241" s="897"/>
      <c r="C241" s="905"/>
      <c r="D241" s="331">
        <v>320</v>
      </c>
      <c r="E241" s="331" t="s">
        <v>597</v>
      </c>
      <c r="F241" s="432" t="s">
        <v>610</v>
      </c>
      <c r="G241" s="433">
        <f t="shared" si="143"/>
        <v>320</v>
      </c>
      <c r="H241" s="433">
        <f t="shared" si="146"/>
        <v>3.1250000000000002E-3</v>
      </c>
      <c r="I241" s="433">
        <f t="shared" si="144"/>
        <v>3.1581544534912409E-3</v>
      </c>
      <c r="J241" s="433">
        <f t="shared" si="147"/>
        <v>316.640625</v>
      </c>
      <c r="K241" s="433">
        <f t="shared" si="145"/>
        <v>0.12908654574433068</v>
      </c>
      <c r="L241" s="433">
        <f t="shared" si="148"/>
        <v>-0.88911902042520252</v>
      </c>
      <c r="M241" s="685">
        <v>25</v>
      </c>
      <c r="N241" s="434"/>
      <c r="O241" s="434" t="s">
        <v>611</v>
      </c>
      <c r="P241" s="100">
        <f>VLOOKUP(O241,References!$B$7:$F$252,5,FALSE)</f>
        <v>136</v>
      </c>
    </row>
    <row r="242" spans="1:16" x14ac:dyDescent="0.2">
      <c r="A242" s="904"/>
      <c r="B242" s="897"/>
      <c r="C242" s="905"/>
      <c r="D242" s="331">
        <v>2.4</v>
      </c>
      <c r="E242" s="331" t="s">
        <v>599</v>
      </c>
      <c r="F242" s="432" t="s">
        <v>601</v>
      </c>
      <c r="G242" s="433">
        <f t="shared" si="140"/>
        <v>622685.85269535333</v>
      </c>
      <c r="H242" s="433">
        <f t="shared" si="135"/>
        <v>1.6059462338375081E-6</v>
      </c>
      <c r="I242" s="433">
        <f t="shared" si="141"/>
        <v>6.1454315587994648</v>
      </c>
      <c r="J242" s="433">
        <f t="shared" si="137"/>
        <v>0.16272250214358486</v>
      </c>
      <c r="K242" s="433">
        <f t="shared" si="142"/>
        <v>251.18864315095806</v>
      </c>
      <c r="L242" s="433">
        <f t="shared" si="139"/>
        <v>2.4</v>
      </c>
      <c r="M242" s="331">
        <v>25</v>
      </c>
      <c r="N242" s="434"/>
      <c r="O242" s="434" t="s">
        <v>525</v>
      </c>
      <c r="P242" s="100">
        <f>VLOOKUP(O242,References!$B$7:$F$252,5,FALSE)</f>
        <v>61</v>
      </c>
    </row>
    <row r="243" spans="1:16" x14ac:dyDescent="0.2">
      <c r="A243" s="904"/>
      <c r="B243" s="897"/>
      <c r="C243" s="905"/>
      <c r="D243" s="331">
        <v>1.26</v>
      </c>
      <c r="E243" s="331" t="s">
        <v>595</v>
      </c>
      <c r="F243" s="432" t="s">
        <v>27</v>
      </c>
      <c r="G243" s="433">
        <f t="shared" ref="G243" si="149">IF(ISBLANK(D243),"",IF(E243="log",K243*R_Pa*(M243+273.15)*0.001,IF(E243="dimensionless",K243*R_Pa*(M243+273.15)*0.001,IF(E243="Pa-m3/mol",D243,IF(E243="log Pa-m3/mol",10^D243,IF(E243="mol/dm3-atm",I243*101325,IF(E243="atm-m3/mol",I243*101325,0)))))))</f>
        <v>3123.4858572990092</v>
      </c>
      <c r="H243" s="433">
        <f t="shared" ref="H243" si="150">IF(ISBLANK(D243),"",1/G243)</f>
        <v>3.2015512337383722E-4</v>
      </c>
      <c r="I243" s="433">
        <f t="shared" ref="I243" si="151">IF(ISBLANK(D243),"",IF(E243="log",K243*R_atm*(M243+273.15)*0.001,IF(E243="dimensionless",K243*R_atm*(M243+273.15)*0.001,IF(E243="Pa-m3/mol",D243/101325,IF(E243="log Pa-m3/mol",(10^D243)/101325,IF(E243="mol/dm3-atm",1/(D243*1000),IF(E243="atm-m3/mol",D243,0)))))))</f>
        <v>3.0826408658268162E-2</v>
      </c>
      <c r="J243" s="433">
        <f t="shared" ref="J243" si="152">IF(ISBLANK(D243),"",1/I243)</f>
        <v>32.43971787585393</v>
      </c>
      <c r="K243" s="433">
        <f t="shared" ref="K243" si="153">IF(ISBLANK(D243),"",IF(E243="log",10^D243,IF(E243="dimensionless",D243,I243/(R_atm*(M243+273.15)*0.001))))</f>
        <v>1.26</v>
      </c>
      <c r="L243" s="433">
        <f t="shared" ref="L243" si="154">IF(ISBLANK(D243),"",IF(E243="log",D243,IF(E243="dimensionless",LOG(D243),LOG(K243))))</f>
        <v>0.10037054511756291</v>
      </c>
      <c r="M243" s="331">
        <v>25</v>
      </c>
      <c r="N243" s="432">
        <v>6.55</v>
      </c>
      <c r="O243" s="434" t="s">
        <v>609</v>
      </c>
      <c r="P243" s="100">
        <f>VLOOKUP(O243,References!$B$7:$F$252,5,FALSE)</f>
        <v>4</v>
      </c>
    </row>
    <row r="244" spans="1:16" ht="16" x14ac:dyDescent="0.2">
      <c r="A244" s="899"/>
      <c r="B244" s="901"/>
      <c r="C244" s="903"/>
      <c r="D244" s="589">
        <v>2.6200000000000003E-10</v>
      </c>
      <c r="E244" s="588" t="s">
        <v>594</v>
      </c>
      <c r="F244" s="686" t="s">
        <v>515</v>
      </c>
      <c r="G244" s="469">
        <f t="shared" si="140"/>
        <v>2.6547150000000002E-5</v>
      </c>
      <c r="H244" s="469">
        <f t="shared" si="135"/>
        <v>37668.826973893614</v>
      </c>
      <c r="I244" s="469">
        <f t="shared" si="141"/>
        <v>2.6200000000000003E-10</v>
      </c>
      <c r="J244" s="469">
        <f t="shared" si="137"/>
        <v>3816793893.1297708</v>
      </c>
      <c r="K244" s="469">
        <f t="shared" si="142"/>
        <v>1.0708999665176902E-8</v>
      </c>
      <c r="L244" s="469">
        <f t="shared" si="139"/>
        <v>-7.9702510950116325</v>
      </c>
      <c r="M244" s="588">
        <v>25</v>
      </c>
      <c r="N244" s="678"/>
      <c r="O244" s="678" t="s">
        <v>511</v>
      </c>
      <c r="P244" s="122">
        <f>VLOOKUP(O244,References!$B$7:$F$252,5,FALSE)</f>
        <v>36</v>
      </c>
    </row>
    <row r="245" spans="1:16" ht="16" x14ac:dyDescent="0.2">
      <c r="A245" s="898" t="s">
        <v>395</v>
      </c>
      <c r="B245" s="900" t="s">
        <v>396</v>
      </c>
      <c r="C245" s="902" t="s">
        <v>397</v>
      </c>
      <c r="D245" s="348">
        <v>316</v>
      </c>
      <c r="E245" s="348" t="s">
        <v>595</v>
      </c>
      <c r="F245" s="432" t="s">
        <v>601</v>
      </c>
      <c r="G245" s="433">
        <f>IF(ISBLANK(D245),"",IF(E245="log",K245*R_Pa*(M245+273.15)*0.001,IF(E245="dimensionless",K245*R_Pa*(M245+273.15)*0.001,IF(E245="Pa-m3/mol",D245,IF(E245="log Pa-m3/mol",10^D245,IF(E245="mol/dm3-atm",I245*101325,IF(E245="atm-m3/mol",I245*101325,0)))))))</f>
        <v>783350.42135435471</v>
      </c>
      <c r="H245" s="433">
        <f>IF(ISBLANK(D245),"",1/G245)</f>
        <v>1.2765678969969459E-6</v>
      </c>
      <c r="I245" s="433">
        <f>IF(ISBLANK(D245),"",IF(E245="log",K245*R_atm*(M245+273.15)*0.001,IF(E245="dimensionless",K245*R_atm*(M245+273.15)*0.001,IF(E245="Pa-m3/mol",D245/101325,IF(E245="log Pa-m3/mol",(10^D245)/101325,IF(E245="mol/dm3-atm",1/(D245*1000),IF(E245="atm-m3/mol",D245,0)))))))</f>
        <v>7.7310675682640779</v>
      </c>
      <c r="J245" s="433">
        <f>IF(ISBLANK(D245),"",1/I245)</f>
        <v>0.12934824216321505</v>
      </c>
      <c r="K245" s="433">
        <f>IF(ISBLANK(D245),"",IF(E245="log",10^D245,IF(E245="dimensionless",D245,I245/(R_atm*(M245+273.15)*0.001))))</f>
        <v>316</v>
      </c>
      <c r="L245" s="433">
        <f>IF(ISBLANK(D245),"",IF(E245="log",D245,IF(E245="dimensionless",LOG(D245),LOG(K245))))</f>
        <v>2.4996870826184039</v>
      </c>
      <c r="M245" s="348">
        <v>25</v>
      </c>
      <c r="N245" s="434"/>
      <c r="O245" s="434" t="s">
        <v>538</v>
      </c>
      <c r="P245" s="100">
        <f>VLOOKUP(O245,References!$B$7:$F$252,5,FALSE)</f>
        <v>34</v>
      </c>
    </row>
    <row r="246" spans="1:16" ht="16" x14ac:dyDescent="0.2">
      <c r="A246" s="904"/>
      <c r="B246" s="897"/>
      <c r="C246" s="905"/>
      <c r="D246" s="348">
        <v>1.57</v>
      </c>
      <c r="E246" s="348" t="s">
        <v>612</v>
      </c>
      <c r="F246" s="432" t="s">
        <v>27</v>
      </c>
      <c r="G246" s="433">
        <f>IF(ISBLANK(D246),"",IF(E246="log",K246*R_Pa*(M246+273.15)*0.001,IF(E246="dimensionless",K246*R_Pa*(M246+273.15)*0.001,IF(E246="Pa-m3/mol",D246,IF(E246="log Pa-m3/mol",10^D246,IF(E246="mol/dm3-atm",I246*101325,IF(E246="atm-m3/mol",I246*101325,0)))))))</f>
        <v>37.153522909717275</v>
      </c>
      <c r="H246" s="433">
        <f>IF(ISBLANK(D246),"",1/G246)</f>
        <v>2.6915348039269142E-2</v>
      </c>
      <c r="I246" s="433">
        <f>IF(ISBLANK(D246),"",IF(E246="log",K246*R_atm*(M246+273.15)*0.001,IF(E246="dimensionless",K246*R_atm*(M246+273.15)*0.001,IF(E246="Pa-m3/mol",D246/101325,IF(E246="log Pa-m3/mol",(10^D246)/101325,IF(E246="mol/dm3-atm",1/(D246*1000),IF(E246="atm-m3/mol",D246,0)))))))</f>
        <v>3.6667676200066393E-4</v>
      </c>
      <c r="J246" s="433">
        <f>IF(ISBLANK(D246),"",1/I246)</f>
        <v>2727.1976400789458</v>
      </c>
      <c r="K246" s="433">
        <f>IF(ISBLANK(D246),"",IF(E246="log",10^D246,IF(E246="dimensionless",D246,I246/(R_atm*(M246+273.15)*0.001))))</f>
        <v>1.4987562295775803E-2</v>
      </c>
      <c r="L246" s="433">
        <f>IF(ISBLANK(D246),"",IF(E246="log",D246,IF(E246="dimensionless",LOG(D246),LOG(K246))))</f>
        <v>-1.8242689987451082</v>
      </c>
      <c r="M246" s="348">
        <v>25</v>
      </c>
      <c r="N246" s="434"/>
      <c r="O246" s="434" t="s">
        <v>576</v>
      </c>
      <c r="P246" s="100">
        <f>VLOOKUP(O246,References!$B$7:$F$252,5,FALSE)</f>
        <v>73</v>
      </c>
    </row>
    <row r="247" spans="1:16" ht="16" x14ac:dyDescent="0.2">
      <c r="A247" s="904"/>
      <c r="B247" s="897"/>
      <c r="C247" s="905"/>
      <c r="D247" s="335">
        <v>0</v>
      </c>
      <c r="E247" s="348" t="s">
        <v>599</v>
      </c>
      <c r="F247" s="432" t="s">
        <v>30</v>
      </c>
      <c r="G247" s="433">
        <f>IF(ISBLANK(D247),"",IF(E247="log",K247*R_Pa*(M247+273.15)*0.001,IF(E247="dimensionless",K247*R_Pa*(M247+273.15)*0.001,IF(E247="Pa-m3/mol",D247,IF(E247="log Pa-m3/mol",10^D247,IF(E247="mol/dm3-atm",I247*101325,IF(E247="atm-m3/mol",I247*101325,0)))))))</f>
        <v>2478.9570296023885</v>
      </c>
      <c r="H247" s="433">
        <f>IF(ISBLANK(D247),"",1/G247)</f>
        <v>4.0339545545103487E-4</v>
      </c>
      <c r="I247" s="433">
        <f>IF(ISBLANK(D247),"",IF(E247="log",K247*R_atm*(M247+273.15)*0.001,IF(E247="dimensionless",K247*R_atm*(M247+273.15)*0.001,IF(E247="Pa-m3/mol",D247/101325,IF(E247="log Pa-m3/mol",(10^D247)/101325,IF(E247="mol/dm3-atm",1/(D247*1000),IF(E247="atm-m3/mol",D247,0)))))))</f>
        <v>2.4465403697038219E-2</v>
      </c>
      <c r="J247" s="433">
        <f>IF(ISBLANK(D247),"",1/I247)</f>
        <v>40.874044523575961</v>
      </c>
      <c r="K247" s="433">
        <f>IF(ISBLANK(D247),"",IF(E247="log",10^D247,IF(E247="dimensionless",D247,I247/(R_atm*(M247+273.15)*0.001))))</f>
        <v>1</v>
      </c>
      <c r="L247" s="433">
        <f>IF(ISBLANK(D247),"",IF(E247="log",D247,IF(E247="dimensionless",LOG(D247),LOG(K247))))</f>
        <v>0</v>
      </c>
      <c r="M247" s="348">
        <v>25</v>
      </c>
      <c r="N247" s="434"/>
      <c r="O247" s="434" t="s">
        <v>613</v>
      </c>
      <c r="P247" s="100">
        <f>VLOOKUP(O247,References!$B$7:$F$252,5,FALSE)</f>
        <v>41</v>
      </c>
    </row>
    <row r="248" spans="1:16" x14ac:dyDescent="0.2">
      <c r="A248" s="904"/>
      <c r="B248" s="897"/>
      <c r="C248" s="905"/>
      <c r="D248" s="331">
        <v>0.85</v>
      </c>
      <c r="E248" s="331" t="s">
        <v>599</v>
      </c>
      <c r="F248" s="432" t="s">
        <v>522</v>
      </c>
      <c r="G248" s="433">
        <f>IF(ISBLANK(D248),"",IF(E248="log",K248*R_Pa*(M248+273.15)*0.001,IF(E248="dimensionless",K248*R_Pa*(M248+273.15)*0.001,IF(E248="Pa-m3/mol",D248,IF(E248="log Pa-m3/mol",10^D248,IF(E248="mol/dm3-atm",I248*101325,IF(E248="atm-m3/mol",I248*101325,0)))))))</f>
        <v>17549.671787764357</v>
      </c>
      <c r="H248" s="433">
        <f>IF(ISBLANK(D248),"",1/G248)</f>
        <v>5.6981122615478238E-5</v>
      </c>
      <c r="I248" s="433">
        <f>IF(ISBLANK(D248),"",IF(E248="log",K248*R_atm*(M248+273.15)*0.001,IF(E248="dimensionless",K248*R_atm*(M248+273.15)*0.001,IF(E248="Pa-m3/mol",D248/101325,IF(E248="log Pa-m3/mol",(10^D248)/101325,IF(E248="mol/dm3-atm",1/(D248*1000),IF(E248="atm-m3/mol",D248,0)))))))</f>
        <v>0.17320179410574313</v>
      </c>
      <c r="J248" s="433">
        <f>IF(ISBLANK(D248),"",1/I248)</f>
        <v>5.7736122490133113</v>
      </c>
      <c r="K248" s="433">
        <f>IF(ISBLANK(D248),"",IF(E248="log",10^D248,IF(E248="dimensionless",D248,I248/(R_atm*(M248+273.15)*0.001))))</f>
        <v>7.0794578438413795</v>
      </c>
      <c r="L248" s="433">
        <f>IF(ISBLANK(D248),"",IF(E248="log",D248,IF(E248="dimensionless",LOG(D248),LOG(K248))))</f>
        <v>0.85</v>
      </c>
      <c r="M248" s="331">
        <v>25</v>
      </c>
      <c r="N248" s="434"/>
      <c r="O248" s="434" t="s">
        <v>570</v>
      </c>
      <c r="P248" s="100">
        <f>VLOOKUP(O248,References!$B$7:$F$252,5,FALSE)</f>
        <v>9</v>
      </c>
    </row>
    <row r="249" spans="1:16" x14ac:dyDescent="0.2">
      <c r="A249" s="904"/>
      <c r="B249" s="897"/>
      <c r="C249" s="905"/>
      <c r="D249" s="331">
        <v>1.39</v>
      </c>
      <c r="E249" s="331" t="s">
        <v>599</v>
      </c>
      <c r="F249" s="432" t="s">
        <v>571</v>
      </c>
      <c r="G249" s="433">
        <f>IF(ISBLANK(D249),"",IF(E249="log",K249*R_Pa*(M249+273.15)*0.001,IF(E249="dimensionless",K249*R_Pa*(M249+273.15)*0.001,IF(E249="Pa-m3/mol",D249,IF(E249="log Pa-m3/mol",10^D249,IF(E249="mol/dm3-atm",I249*101325,IF(E249="atm-m3/mol",I249*101325,0)))))))</f>
        <v>60851.179221650629</v>
      </c>
      <c r="H249" s="433">
        <f>IF(ISBLANK(D249),"",1/G249)</f>
        <v>1.6433535270655914E-5</v>
      </c>
      <c r="I249" s="433">
        <f>IF(ISBLANK(D249),"",IF(E249="log",K249*R_atm*(M249+273.15)*0.001,IF(E249="dimensionless",K249*R_atm*(M249+273.15)*0.001,IF(E249="Pa-m3/mol",D249/101325,IF(E249="log Pa-m3/mol",(10^D249)/101325,IF(E249="mol/dm3-atm",1/(D249*1000),IF(E249="atm-m3/mol",D249,0)))))))</f>
        <v>0.60055444580953232</v>
      </c>
      <c r="J249" s="433">
        <f>IF(ISBLANK(D249),"",1/I249)</f>
        <v>1.6651279612992043</v>
      </c>
      <c r="K249" s="433">
        <f>IF(ISBLANK(D249),"",IF(E249="log",10^D249,IF(E249="dimensionless",D249,I249/(R_atm*(M249+273.15)*0.001))))</f>
        <v>24.547089156850305</v>
      </c>
      <c r="L249" s="433">
        <f>IF(ISBLANK(D249),"",IF(E249="log",D249,IF(E249="dimensionless",LOG(D249),LOG(K249))))</f>
        <v>1.39</v>
      </c>
      <c r="M249" s="331">
        <v>25</v>
      </c>
      <c r="N249" s="434"/>
      <c r="O249" s="434" t="s">
        <v>570</v>
      </c>
      <c r="P249" s="100">
        <f>VLOOKUP(O249,References!$B$7:$F$252,5,FALSE)</f>
        <v>9</v>
      </c>
    </row>
    <row r="250" spans="1:16" ht="16" x14ac:dyDescent="0.2">
      <c r="A250" s="904"/>
      <c r="B250" s="897"/>
      <c r="C250" s="905"/>
      <c r="D250" s="348">
        <v>0.08</v>
      </c>
      <c r="E250" s="348" t="s">
        <v>599</v>
      </c>
      <c r="F250" s="432" t="s">
        <v>571</v>
      </c>
      <c r="G250" s="433">
        <f t="shared" ref="G250:G261" si="155">IF(ISBLANK(D250),"",IF(E250="log",K250*R_Pa*(M250+273.15)*0.001,IF(E250="dimensionless",K250*R_Pa*(M250+273.15)*0.001,IF(E250="Pa-m3/mol",D250,IF(E250="log Pa-m3/mol",10^D250,IF(E250="mol/dm3-atm",I250*101325,IF(E250="atm-m3/mol",I250*101325,0)))))))</f>
        <v>2980.3618716357769</v>
      </c>
      <c r="H250" s="433">
        <f t="shared" si="135"/>
        <v>3.3552972527163229E-4</v>
      </c>
      <c r="I250" s="433">
        <f t="shared" ref="I250:I261" si="156">IF(ISBLANK(D250),"",IF(E250="log",K250*R_atm*(M250+273.15)*0.001,IF(E250="dimensionless",K250*R_atm*(M250+273.15)*0.001,IF(E250="Pa-m3/mol",D250/101325,IF(E250="log Pa-m3/mol",(10^D250)/101325,IF(E250="mol/dm3-atm",1/(D250*1000),IF(E250="atm-m3/mol",D250,0)))))))</f>
        <v>2.9413884743506424E-2</v>
      </c>
      <c r="J250" s="433">
        <f t="shared" si="137"/>
        <v>33.997549413148008</v>
      </c>
      <c r="K250" s="433">
        <f t="shared" ref="K250:K261" si="157">IF(ISBLANK(D250),"",IF(E250="log",10^D250,IF(E250="dimensionless",D250,I250/(R_atm*(M250+273.15)*0.001))))</f>
        <v>1.2022644346174129</v>
      </c>
      <c r="L250" s="433">
        <f t="shared" si="139"/>
        <v>0.08</v>
      </c>
      <c r="M250" s="685">
        <v>25</v>
      </c>
      <c r="N250" s="434"/>
      <c r="O250" s="434" t="s">
        <v>602</v>
      </c>
      <c r="P250" s="100">
        <f>VLOOKUP(O250,References!$B$7:$F$252,5,FALSE)</f>
        <v>101</v>
      </c>
    </row>
    <row r="251" spans="1:16" ht="16" x14ac:dyDescent="0.2">
      <c r="A251" s="904"/>
      <c r="B251" s="897"/>
      <c r="C251" s="905"/>
      <c r="D251" s="348">
        <v>2.29</v>
      </c>
      <c r="E251" s="348" t="s">
        <v>599</v>
      </c>
      <c r="F251" s="432" t="s">
        <v>513</v>
      </c>
      <c r="G251" s="433">
        <f t="shared" ref="G251:G257" si="158">IF(ISBLANK(D251),"",IF(E251="log",K251*R_Pa*(M251+273.15)*0.001,IF(E251="dimensionless",K251*R_Pa*(M251+273.15)*0.001,IF(E251="Pa-m3/mol",D251,IF(E251="log Pa-m3/mol",10^D251,IF(E251="mol/dm3-atm",I251*101325,IF(E251="atm-m3/mol",I251*101325,0)))))))</f>
        <v>483358.0977202463</v>
      </c>
      <c r="H251" s="433">
        <f t="shared" si="135"/>
        <v>2.0688595157844465E-6</v>
      </c>
      <c r="I251" s="433">
        <f t="shared" ref="I251:I257" si="159">IF(ISBLANK(D251),"",IF(E251="log",K251*R_atm*(M251+273.15)*0.001,IF(E251="dimensionless",K251*R_atm*(M251+273.15)*0.001,IF(E251="Pa-m3/mol",D251/101325,IF(E251="log Pa-m3/mol",(10^D251)/101325,IF(E251="mol/dm3-atm",1/(D251*1000),IF(E251="atm-m3/mol",D251,0)))))))</f>
        <v>4.7703735279570498</v>
      </c>
      <c r="J251" s="433">
        <f t="shared" si="137"/>
        <v>0.20962719043685829</v>
      </c>
      <c r="K251" s="433">
        <f t="shared" ref="K251:K257" si="160">IF(ISBLANK(D251),"",IF(E251="log",10^D251,IF(E251="dimensionless",D251,I251/(R_atm*(M251+273.15)*0.001))))</f>
        <v>194.98445997580458</v>
      </c>
      <c r="L251" s="433">
        <f t="shared" si="139"/>
        <v>2.29</v>
      </c>
      <c r="M251" s="685">
        <v>25</v>
      </c>
      <c r="N251" s="434"/>
      <c r="O251" s="434" t="s">
        <v>602</v>
      </c>
      <c r="P251" s="100">
        <f>VLOOKUP(O251,References!$B$7:$F$252,5,FALSE)</f>
        <v>101</v>
      </c>
    </row>
    <row r="252" spans="1:16" x14ac:dyDescent="0.2">
      <c r="A252" s="904"/>
      <c r="B252" s="897"/>
      <c r="C252" s="905"/>
      <c r="D252" s="700">
        <v>2.2286906692881785</v>
      </c>
      <c r="E252" s="331" t="s">
        <v>599</v>
      </c>
      <c r="F252" s="432" t="s">
        <v>513</v>
      </c>
      <c r="G252" s="433">
        <f t="shared" si="158"/>
        <v>419720.00371382671</v>
      </c>
      <c r="H252" s="433">
        <f t="shared" ref="H252:H257" si="161">IF(ISBLANK(D252),"",1/G252)</f>
        <v>2.3825407203651402E-6</v>
      </c>
      <c r="I252" s="433">
        <f t="shared" si="159"/>
        <v>4.142314371713085</v>
      </c>
      <c r="J252" s="433">
        <f t="shared" ref="J252:J257" si="162">IF(ISBLANK(D252),"",1/I252)</f>
        <v>0.2414109384909969</v>
      </c>
      <c r="K252" s="433">
        <f t="shared" si="160"/>
        <v>169.31314206004919</v>
      </c>
      <c r="L252" s="433">
        <f t="shared" ref="L252:L257" si="163">IF(ISBLANK(D252),"",IF(E252="log",D252,IF(E252="dimensionless",LOG(D252),LOG(K252))))</f>
        <v>2.2286906692881785</v>
      </c>
      <c r="M252" s="348">
        <v>25</v>
      </c>
      <c r="N252" s="434"/>
      <c r="O252" s="434" t="s">
        <v>600</v>
      </c>
      <c r="P252" s="100">
        <f>VLOOKUP(O252,References!$B$7:$F$252,5,FALSE)</f>
        <v>143</v>
      </c>
    </row>
    <row r="253" spans="1:16" x14ac:dyDescent="0.2">
      <c r="A253" s="904"/>
      <c r="B253" s="897"/>
      <c r="C253" s="905"/>
      <c r="D253" s="700">
        <v>0.19147112790349399</v>
      </c>
      <c r="E253" s="331" t="s">
        <v>599</v>
      </c>
      <c r="F253" s="432" t="s">
        <v>571</v>
      </c>
      <c r="G253" s="433">
        <f t="shared" si="158"/>
        <v>3852.4776392972462</v>
      </c>
      <c r="H253" s="433">
        <f t="shared" si="161"/>
        <v>2.5957321330031548E-4</v>
      </c>
      <c r="I253" s="433">
        <f t="shared" si="159"/>
        <v>3.8020998167256459E-2</v>
      </c>
      <c r="J253" s="433">
        <f t="shared" si="162"/>
        <v>26.30125583765437</v>
      </c>
      <c r="K253" s="433">
        <f t="shared" si="160"/>
        <v>1.5540719719192402</v>
      </c>
      <c r="L253" s="433">
        <f t="shared" si="163"/>
        <v>0.19147112790349399</v>
      </c>
      <c r="M253" s="348">
        <v>25</v>
      </c>
      <c r="N253" s="434"/>
      <c r="O253" s="434" t="s">
        <v>600</v>
      </c>
      <c r="P253" s="100">
        <f>VLOOKUP(O253,References!$B$7:$F$252,5,FALSE)</f>
        <v>143</v>
      </c>
    </row>
    <row r="254" spans="1:16" x14ac:dyDescent="0.2">
      <c r="A254" s="904"/>
      <c r="B254" s="897"/>
      <c r="C254" s="905"/>
      <c r="D254" s="700">
        <v>-0.2637494361766109</v>
      </c>
      <c r="E254" s="331" t="s">
        <v>599</v>
      </c>
      <c r="F254" s="432" t="s">
        <v>522</v>
      </c>
      <c r="G254" s="433">
        <f t="shared" si="158"/>
        <v>1350.5776625515132</v>
      </c>
      <c r="H254" s="433">
        <f t="shared" si="161"/>
        <v>7.4042391469054697E-4</v>
      </c>
      <c r="I254" s="433">
        <f t="shared" si="159"/>
        <v>1.3329165186790214E-2</v>
      </c>
      <c r="J254" s="433">
        <f t="shared" si="162"/>
        <v>75.023453156019386</v>
      </c>
      <c r="K254" s="433">
        <f t="shared" si="160"/>
        <v>0.54481689130696176</v>
      </c>
      <c r="L254" s="433">
        <f t="shared" si="163"/>
        <v>-0.2637494361766109</v>
      </c>
      <c r="M254" s="348">
        <v>25</v>
      </c>
      <c r="N254" s="434"/>
      <c r="O254" s="434" t="s">
        <v>600</v>
      </c>
      <c r="P254" s="100">
        <f>VLOOKUP(O254,References!$B$7:$F$252,5,FALSE)</f>
        <v>143</v>
      </c>
    </row>
    <row r="255" spans="1:16" x14ac:dyDescent="0.2">
      <c r="A255" s="904"/>
      <c r="B255" s="897"/>
      <c r="C255" s="905"/>
      <c r="D255" s="700">
        <v>2.9667649999999997</v>
      </c>
      <c r="E255" s="331" t="s">
        <v>599</v>
      </c>
      <c r="F255" s="432" t="s">
        <v>514</v>
      </c>
      <c r="G255" s="433">
        <f t="shared" si="158"/>
        <v>2296328.4091538968</v>
      </c>
      <c r="H255" s="433">
        <f t="shared" si="161"/>
        <v>4.3547778097143305E-7</v>
      </c>
      <c r="I255" s="433">
        <f t="shared" si="159"/>
        <v>22.662999350149569</v>
      </c>
      <c r="J255" s="433">
        <f t="shared" si="162"/>
        <v>4.4124786156930294E-2</v>
      </c>
      <c r="K255" s="433">
        <f t="shared" si="160"/>
        <v>926.32844447578645</v>
      </c>
      <c r="L255" s="433">
        <f t="shared" si="163"/>
        <v>2.9667649999999997</v>
      </c>
      <c r="M255" s="348">
        <v>25</v>
      </c>
      <c r="N255" s="434"/>
      <c r="O255" s="434" t="s">
        <v>600</v>
      </c>
      <c r="P255" s="100">
        <f>VLOOKUP(O255,References!$B$7:$F$252,5,FALSE)</f>
        <v>143</v>
      </c>
    </row>
    <row r="256" spans="1:16" x14ac:dyDescent="0.2">
      <c r="A256" s="904"/>
      <c r="B256" s="897"/>
      <c r="C256" s="905"/>
      <c r="D256" s="331">
        <v>5039</v>
      </c>
      <c r="E256" s="331" t="s">
        <v>597</v>
      </c>
      <c r="F256" s="432" t="s">
        <v>27</v>
      </c>
      <c r="G256" s="433">
        <f t="shared" si="158"/>
        <v>5039</v>
      </c>
      <c r="H256" s="433">
        <f t="shared" si="161"/>
        <v>1.9845207382417147E-4</v>
      </c>
      <c r="I256" s="433">
        <f t="shared" si="159"/>
        <v>4.9731063409819885E-2</v>
      </c>
      <c r="J256" s="433">
        <f t="shared" si="162"/>
        <v>20.108156380234174</v>
      </c>
      <c r="K256" s="433">
        <f t="shared" si="160"/>
        <v>2.0327097000177572</v>
      </c>
      <c r="L256" s="433">
        <f t="shared" si="163"/>
        <v>0.30807535961066024</v>
      </c>
      <c r="M256" s="348">
        <v>25</v>
      </c>
      <c r="N256" s="434"/>
      <c r="O256" s="434" t="s">
        <v>614</v>
      </c>
      <c r="P256" s="100">
        <f>VLOOKUP(O256,References!$B$7:$F$252,5,FALSE)</f>
        <v>133</v>
      </c>
    </row>
    <row r="257" spans="1:16" x14ac:dyDescent="0.2">
      <c r="A257" s="904"/>
      <c r="B257" s="897"/>
      <c r="C257" s="905"/>
      <c r="D257" s="331">
        <v>3506</v>
      </c>
      <c r="E257" s="331" t="s">
        <v>597</v>
      </c>
      <c r="F257" s="432" t="s">
        <v>610</v>
      </c>
      <c r="G257" s="433">
        <f t="shared" si="158"/>
        <v>3506</v>
      </c>
      <c r="H257" s="433">
        <f t="shared" si="161"/>
        <v>2.8522532800912719E-4</v>
      </c>
      <c r="I257" s="433">
        <f t="shared" si="159"/>
        <v>3.460152973106341E-2</v>
      </c>
      <c r="J257" s="433">
        <f t="shared" si="162"/>
        <v>28.900456360524814</v>
      </c>
      <c r="K257" s="433">
        <f t="shared" si="160"/>
        <v>1.4143044668113232</v>
      </c>
      <c r="L257" s="433">
        <f t="shared" si="163"/>
        <v>0.1505429130126677</v>
      </c>
      <c r="M257" s="685">
        <v>25</v>
      </c>
      <c r="N257" s="434"/>
      <c r="O257" s="434" t="s">
        <v>611</v>
      </c>
      <c r="P257" s="100">
        <f>VLOOKUP(O257,References!$B$7:$F$252,5,FALSE)</f>
        <v>136</v>
      </c>
    </row>
    <row r="258" spans="1:16" x14ac:dyDescent="0.2">
      <c r="A258" s="904"/>
      <c r="B258" s="897"/>
      <c r="C258" s="905"/>
      <c r="D258" s="331">
        <v>3.54</v>
      </c>
      <c r="E258" s="331" t="s">
        <v>599</v>
      </c>
      <c r="F258" s="432" t="s">
        <v>601</v>
      </c>
      <c r="G258" s="433">
        <f t="shared" si="155"/>
        <v>8595457.5285149682</v>
      </c>
      <c r="H258" s="433">
        <f t="shared" si="135"/>
        <v>1.163405201738888E-7</v>
      </c>
      <c r="I258" s="433">
        <f t="shared" si="156"/>
        <v>84.830570229607716</v>
      </c>
      <c r="J258" s="433">
        <f t="shared" si="137"/>
        <v>1.1788203206619236E-2</v>
      </c>
      <c r="K258" s="433">
        <f t="shared" si="157"/>
        <v>3467.3685045253224</v>
      </c>
      <c r="L258" s="433">
        <f t="shared" si="139"/>
        <v>3.54</v>
      </c>
      <c r="M258" s="331">
        <v>25</v>
      </c>
      <c r="N258" s="434"/>
      <c r="O258" s="434" t="s">
        <v>525</v>
      </c>
      <c r="P258" s="100">
        <f>VLOOKUP(O258,References!$B$7:$F$252,5,FALSE)</f>
        <v>61</v>
      </c>
    </row>
    <row r="259" spans="1:16" ht="16" x14ac:dyDescent="0.2">
      <c r="A259" s="904"/>
      <c r="B259" s="897"/>
      <c r="C259" s="905"/>
      <c r="D259" s="331">
        <v>0.2</v>
      </c>
      <c r="E259" s="348" t="s">
        <v>594</v>
      </c>
      <c r="F259" s="432" t="s">
        <v>571</v>
      </c>
      <c r="G259" s="433">
        <f>IF(ISBLANK(D259),"",IF(E259="log",K259*R_Pa*(M259+273.15)*0.001,IF(E259="dimensionless",K259*R_Pa*(M259+273.15)*0.001,IF(E259="Pa-m3/mol",D259,IF(E259="log Pa-m3/mol",10^D259,IF(E259="mol/dm3-atm",I259*101325,IF(E259="atm-m3/mol",I259*101325,0)))))))</f>
        <v>20265</v>
      </c>
      <c r="H259" s="433">
        <f>IF(ISBLANK(D259),"",1/G259)</f>
        <v>4.9346163335800639E-5</v>
      </c>
      <c r="I259" s="433">
        <f>IF(ISBLANK(D259),"",IF(E259="log",K259*R_atm*(M259+273.15)*0.001,IF(E259="dimensionless",K259*R_atm*(M259+273.15)*0.001,IF(E259="Pa-m3/mol",D259/101325,IF(E259="log Pa-m3/mol",(10^D259)/101325,IF(E259="mol/dm3-atm",1/(D259*1000),IF(E259="atm-m3/mol",D259,0)))))))</f>
        <v>0.2</v>
      </c>
      <c r="J259" s="433">
        <f>IF(ISBLANK(D259),"",1/I259)</f>
        <v>5</v>
      </c>
      <c r="K259" s="433">
        <f>IF(ISBLANK(D259),"",IF(E259="log",10^D259,IF(E259="dimensionless",D259,I259/(R_atm*(M259+273.15)*0.001))))</f>
        <v>8.1748089047151922</v>
      </c>
      <c r="L259" s="433">
        <f>IF(ISBLANK(D259),"",IF(E259="log",D259,IF(E259="dimensionless",LOG(D259),LOG(K259))))</f>
        <v>0.91247760933260347</v>
      </c>
      <c r="M259" s="685">
        <v>25</v>
      </c>
      <c r="N259" s="434"/>
      <c r="O259" s="434" t="s">
        <v>606</v>
      </c>
      <c r="P259" s="100">
        <f>VLOOKUP(O259,References!$B$7:$F$252,5,FALSE)</f>
        <v>135</v>
      </c>
    </row>
    <row r="260" spans="1:16" ht="16" x14ac:dyDescent="0.2">
      <c r="A260" s="904"/>
      <c r="B260" s="897"/>
      <c r="C260" s="905"/>
      <c r="D260" s="331">
        <v>1.98</v>
      </c>
      <c r="E260" s="348" t="s">
        <v>595</v>
      </c>
      <c r="F260" s="432" t="s">
        <v>27</v>
      </c>
      <c r="G260" s="433">
        <f>IF(ISBLANK(D260),"",IF(E260="log",K260*R_Pa*(M260+273.15)*0.001,IF(E260="dimensionless",K260*R_Pa*(M260+273.15)*0.001,IF(E260="Pa-m3/mol",D260,IF(E260="log Pa-m3/mol",10^D260,IF(E260="mol/dm3-atm",I260*101325,IF(E260="atm-m3/mol",I260*101325,0)))))))</f>
        <v>4908.3349186127289</v>
      </c>
      <c r="H260" s="433">
        <f>IF(ISBLANK(D260),"",1/G260)</f>
        <v>2.0373507851062368E-4</v>
      </c>
      <c r="I260" s="433">
        <f>IF(ISBLANK(D260),"",IF(E260="log",K260*R_atm*(M260+273.15)*0.001,IF(E260="dimensionless",K260*R_atm*(M260+273.15)*0.001,IF(E260="Pa-m3/mol",D260/101325,IF(E260="log Pa-m3/mol",(10^D260)/101325,IF(E260="mol/dm3-atm",1/(D260*1000),IF(E260="atm-m3/mol",D260,0)))))))</f>
        <v>4.8441499320135681E-2</v>
      </c>
      <c r="J260" s="433">
        <f>IF(ISBLANK(D260),"",1/I260)</f>
        <v>20.643456830088866</v>
      </c>
      <c r="K260" s="433">
        <f>IF(ISBLANK(D260),"",IF(E260="log",10^D260,IF(E260="dimensionless",D260,I260/(R_atm*(M260+273.15)*0.001))))</f>
        <v>1.98</v>
      </c>
      <c r="L260" s="433">
        <f>IF(ISBLANK(D260),"",IF(E260="log",D260,IF(E260="dimensionless",LOG(D260),LOG(K260))))</f>
        <v>0.2966651902615311</v>
      </c>
      <c r="M260" s="348">
        <v>25</v>
      </c>
      <c r="N260" s="432">
        <v>6.74</v>
      </c>
      <c r="O260" s="434" t="s">
        <v>609</v>
      </c>
      <c r="P260" s="100">
        <f>VLOOKUP(O260,References!$B$7:$F$252,5,FALSE)</f>
        <v>4</v>
      </c>
    </row>
    <row r="261" spans="1:16" ht="16" x14ac:dyDescent="0.2">
      <c r="A261" s="899"/>
      <c r="B261" s="901"/>
      <c r="C261" s="903"/>
      <c r="D261" s="589">
        <v>2.0700000000000001E-10</v>
      </c>
      <c r="E261" s="588" t="s">
        <v>594</v>
      </c>
      <c r="F261" s="686" t="s">
        <v>515</v>
      </c>
      <c r="G261" s="469">
        <f t="shared" si="155"/>
        <v>2.0974275000000002E-5</v>
      </c>
      <c r="H261" s="469">
        <f t="shared" si="135"/>
        <v>47677.452498358107</v>
      </c>
      <c r="I261" s="469">
        <f t="shared" si="156"/>
        <v>2.0700000000000001E-10</v>
      </c>
      <c r="J261" s="469">
        <f t="shared" si="137"/>
        <v>4830917874.3961353</v>
      </c>
      <c r="K261" s="469">
        <f t="shared" si="157"/>
        <v>8.460927216380223E-9</v>
      </c>
      <c r="L261" s="469">
        <f t="shared" si="139"/>
        <v>-8.07258204087446</v>
      </c>
      <c r="M261" s="588">
        <v>25</v>
      </c>
      <c r="N261" s="678"/>
      <c r="O261" s="678" t="s">
        <v>511</v>
      </c>
      <c r="P261" s="122">
        <f>VLOOKUP(O261,References!$B$7:$F$252,5,FALSE)</f>
        <v>36</v>
      </c>
    </row>
    <row r="262" spans="1:16" x14ac:dyDescent="0.2">
      <c r="A262" s="904" t="s">
        <v>406</v>
      </c>
      <c r="B262" s="897" t="s">
        <v>407</v>
      </c>
      <c r="C262" s="905" t="s">
        <v>408</v>
      </c>
      <c r="D262" s="331">
        <v>0.94</v>
      </c>
      <c r="E262" s="331" t="s">
        <v>599</v>
      </c>
      <c r="F262" s="432" t="s">
        <v>522</v>
      </c>
      <c r="G262" s="433">
        <f>IF(ISBLANK(D262),"",IF(E262="log",K262*R_Pa*(M262+273.15)*0.001,IF(E262="dimensionless",K262*R_Pa*(M262+273.15)*0.001,IF(E262="Pa-m3/mol",D262,IF(E262="log Pa-m3/mol",10^D262,IF(E262="mol/dm3-atm",I262*101325,IF(E262="atm-m3/mol",I262*101325,0)))))))</f>
        <v>21590.81313849358</v>
      </c>
      <c r="H262" s="433">
        <f>IF(ISBLANK(D262),"",1/G262)</f>
        <v>4.6315995307149015E-5</v>
      </c>
      <c r="I262" s="433">
        <f>IF(ISBLANK(D262),"",IF(E262="log",K262*R_atm*(M262+273.15)*0.001,IF(E262="dimensionless",K262*R_atm*(M262+273.15)*0.001,IF(E262="Pa-m3/mol",D262/101325,IF(E262="log Pa-m3/mol",(10^D262)/101325,IF(E262="mol/dm3-atm",1/(D262*1000),IF(E262="atm-m3/mol",D262,0)))))))</f>
        <v>0.21308475833697171</v>
      </c>
      <c r="J262" s="433">
        <f>IF(ISBLANK(D262),"",1/I262)</f>
        <v>4.6929682244968571</v>
      </c>
      <c r="K262" s="433">
        <f>IF(ISBLANK(D262),"",IF(E262="log",10^D262,IF(E262="dimensionless",D262,I262/(R_atm*(M262+273.15)*0.001))))</f>
        <v>8.709635899560805</v>
      </c>
      <c r="L262" s="433">
        <f>IF(ISBLANK(D262),"",IF(E262="log",D262,IF(E262="dimensionless",LOG(D262),LOG(K262))))</f>
        <v>0.94</v>
      </c>
      <c r="M262" s="331">
        <v>25</v>
      </c>
      <c r="N262" s="434"/>
      <c r="O262" s="434" t="s">
        <v>570</v>
      </c>
      <c r="P262" s="100">
        <f>VLOOKUP(O262,References!$B$7:$F$252,5,FALSE)</f>
        <v>9</v>
      </c>
    </row>
    <row r="263" spans="1:16" x14ac:dyDescent="0.2">
      <c r="A263" s="904"/>
      <c r="B263" s="897"/>
      <c r="C263" s="905"/>
      <c r="D263" s="331">
        <v>0.89</v>
      </c>
      <c r="E263" s="331" t="s">
        <v>599</v>
      </c>
      <c r="F263" s="432" t="s">
        <v>571</v>
      </c>
      <c r="G263" s="433">
        <f>IF(ISBLANK(D263),"",IF(E263="log",K263*R_Pa*(M263+273.15)*0.001,IF(E263="dimensionless",K263*R_Pa*(M263+273.15)*0.001,IF(E263="Pa-m3/mol",D263,IF(E263="log Pa-m3/mol",10^D263,IF(E263="mol/dm3-atm",I263*101325,IF(E263="atm-m3/mol",I263*101325,0)))))))</f>
        <v>19242.832464752813</v>
      </c>
      <c r="H263" s="433">
        <f>IF(ISBLANK(D263),"",1/G263)</f>
        <v>5.1967401463984302E-5</v>
      </c>
      <c r="I263" s="433">
        <f>IF(ISBLANK(D263),"",IF(E263="log",K263*R_atm*(M263+273.15)*0.001,IF(E263="dimensionless",K263*R_atm*(M263+273.15)*0.001,IF(E263="Pa-m3/mol",D263/101325,IF(E263="log Pa-m3/mol",(10^D263)/101325,IF(E263="mol/dm3-atm",1/(D263*1000),IF(E263="atm-m3/mol",D263,0)))))))</f>
        <v>0.18991199076982862</v>
      </c>
      <c r="J263" s="433">
        <f>IF(ISBLANK(D263),"",1/I263)</f>
        <v>5.2655969533381901</v>
      </c>
      <c r="K263" s="433">
        <f>IF(ISBLANK(D263),"",IF(E263="log",10^D263,IF(E263="dimensionless",D263,I263/(R_atm*(M263+273.15)*0.001))))</f>
        <v>7.7624711662869199</v>
      </c>
      <c r="L263" s="433">
        <f>IF(ISBLANK(D263),"",IF(E263="log",D263,IF(E263="dimensionless",LOG(D263),LOG(K263))))</f>
        <v>0.89</v>
      </c>
      <c r="M263" s="331">
        <v>25</v>
      </c>
      <c r="N263" s="434"/>
      <c r="O263" s="434" t="s">
        <v>570</v>
      </c>
      <c r="P263" s="100">
        <f>VLOOKUP(O263,References!$B$7:$F$252,5,FALSE)</f>
        <v>9</v>
      </c>
    </row>
    <row r="264" spans="1:16" ht="16" x14ac:dyDescent="0.2">
      <c r="A264" s="904"/>
      <c r="B264" s="897"/>
      <c r="C264" s="905"/>
      <c r="D264" s="331">
        <v>0.56000000000000005</v>
      </c>
      <c r="E264" s="348" t="s">
        <v>599</v>
      </c>
      <c r="F264" s="432" t="s">
        <v>30</v>
      </c>
      <c r="G264" s="433">
        <f>IF(ISBLANK(D264),"",IF(E264="log",K264*R_Pa*(M264+273.15)*0.001,IF(E264="dimensionless",K264*R_Pa*(M264+273.15)*0.001,IF(E264="Pa-m3/mol",D264,IF(E264="log Pa-m3/mol",10^D264,IF(E264="mol/dm3-atm",I264*101325,IF(E264="atm-m3/mol",I264*101325,0)))))))</f>
        <v>9000.5489616670384</v>
      </c>
      <c r="H264" s="433">
        <f>IF(ISBLANK(D264),"",1/G264)</f>
        <v>1.1110433421994127E-4</v>
      </c>
      <c r="I264" s="433">
        <f>IF(ISBLANK(D264),"",IF(E264="log",K264*R_atm*(M264+273.15)*0.001,IF(E264="dimensionless",K264*R_atm*(M264+273.15)*0.001,IF(E264="Pa-m3/mol",D264/101325,IF(E264="log Pa-m3/mol",(10^D264)/101325,IF(E264="mol/dm3-atm",1/(D264*1000),IF(E264="atm-m3/mol",D264,0)))))))</f>
        <v>8.8828511834858848E-2</v>
      </c>
      <c r="J264" s="433">
        <f>IF(ISBLANK(D264),"",1/I264)</f>
        <v>11.257646664835507</v>
      </c>
      <c r="K264" s="433">
        <f>IF(ISBLANK(D264),"",IF(E264="log",10^D264,IF(E264="dimensionless",D264,I264/(R_atm*(M264+273.15)*0.001))))</f>
        <v>3.630780547701014</v>
      </c>
      <c r="L264" s="433">
        <f>IF(ISBLANK(D264),"",IF(E264="log",D264,IF(E264="dimensionless",LOG(D264),LOG(K264))))</f>
        <v>0.56000000000000005</v>
      </c>
      <c r="M264" s="348">
        <v>25</v>
      </c>
      <c r="N264" s="434"/>
      <c r="O264" s="434" t="s">
        <v>613</v>
      </c>
      <c r="P264" s="100">
        <f>VLOOKUP(O264,References!$B$7:$F$252,5,FALSE)</f>
        <v>41</v>
      </c>
    </row>
    <row r="265" spans="1:16" x14ac:dyDescent="0.2">
      <c r="A265" s="904"/>
      <c r="B265" s="897"/>
      <c r="C265" s="905"/>
      <c r="D265" s="700">
        <v>3.6685951795037521</v>
      </c>
      <c r="E265" s="331" t="s">
        <v>599</v>
      </c>
      <c r="F265" s="432" t="s">
        <v>513</v>
      </c>
      <c r="G265" s="433">
        <f t="shared" ref="G265:G273" si="164">IF(ISBLANK(D265),"",IF(E265="log",K265*R_Pa*(M265+273.15)*0.001,IF(E265="dimensionless",K265*R_Pa*(M265+273.15)*0.001,IF(E265="Pa-m3/mol",D265,IF(E265="log Pa-m3/mol",10^D265,IF(E265="mol/dm3-atm",I265*101325,IF(E265="atm-m3/mol",I265*101325,0)))))))</f>
        <v>11557507.348641615</v>
      </c>
      <c r="H265" s="433">
        <f t="shared" si="135"/>
        <v>8.652384721326028E-8</v>
      </c>
      <c r="I265" s="433">
        <f t="shared" ref="I265:I273" si="165">IF(ISBLANK(D265),"",IF(E265="log",K265*R_atm*(M265+273.15)*0.001,IF(E265="dimensionless",K265*R_atm*(M265+273.15)*0.001,IF(E265="Pa-m3/mol",D265/101325,IF(E265="log Pa-m3/mol",(10^D265)/101325,IF(E265="mol/dm3-atm",1/(D265*1000),IF(E265="atm-m3/mol",D265,0)))))))</f>
        <v>114.06372907615751</v>
      </c>
      <c r="J265" s="433">
        <f t="shared" si="137"/>
        <v>8.767028818883563E-3</v>
      </c>
      <c r="K265" s="433">
        <f t="shared" ref="K265:K273" si="166">IF(ISBLANK(D265),"",IF(E265="log",10^D265,IF(E265="dimensionless",D265,I265/(R_atm*(M265+273.15)*0.001))))</f>
        <v>4662.2459407839669</v>
      </c>
      <c r="L265" s="433">
        <f t="shared" si="139"/>
        <v>3.6685951795037521</v>
      </c>
      <c r="M265" s="348">
        <v>25</v>
      </c>
      <c r="N265" s="434"/>
      <c r="O265" s="434" t="s">
        <v>600</v>
      </c>
      <c r="P265" s="100">
        <f>VLOOKUP(O265,References!$B$7:$F$252,5,FALSE)</f>
        <v>143</v>
      </c>
    </row>
    <row r="266" spans="1:16" x14ac:dyDescent="0.2">
      <c r="A266" s="904"/>
      <c r="B266" s="897"/>
      <c r="C266" s="905"/>
      <c r="D266" s="700">
        <v>2.1731226010837599</v>
      </c>
      <c r="E266" s="331" t="s">
        <v>599</v>
      </c>
      <c r="F266" s="432" t="s">
        <v>571</v>
      </c>
      <c r="G266" s="433">
        <f t="shared" si="164"/>
        <v>369310.45273593481</v>
      </c>
      <c r="H266" s="433">
        <f t="shared" si="135"/>
        <v>2.7077489753993568E-6</v>
      </c>
      <c r="I266" s="433">
        <f t="shared" si="165"/>
        <v>3.6448107844651978</v>
      </c>
      <c r="J266" s="433">
        <f t="shared" si="137"/>
        <v>0.2743626649323388</v>
      </c>
      <c r="K266" s="433">
        <f t="shared" si="166"/>
        <v>148.97815828424029</v>
      </c>
      <c r="L266" s="433">
        <f t="shared" si="139"/>
        <v>2.1731226010837599</v>
      </c>
      <c r="M266" s="348">
        <v>25</v>
      </c>
      <c r="N266" s="434"/>
      <c r="O266" s="434" t="s">
        <v>600</v>
      </c>
      <c r="P266" s="100">
        <f>VLOOKUP(O266,References!$B$7:$F$252,5,FALSE)</f>
        <v>143</v>
      </c>
    </row>
    <row r="267" spans="1:16" x14ac:dyDescent="0.2">
      <c r="A267" s="904"/>
      <c r="B267" s="897"/>
      <c r="C267" s="905"/>
      <c r="D267" s="700">
        <v>0.44425056382338907</v>
      </c>
      <c r="E267" s="331" t="s">
        <v>599</v>
      </c>
      <c r="F267" s="432" t="s">
        <v>522</v>
      </c>
      <c r="G267" s="433">
        <f t="shared" si="164"/>
        <v>6894.7664958764435</v>
      </c>
      <c r="H267" s="433">
        <f t="shared" si="135"/>
        <v>1.4503754414280318E-4</v>
      </c>
      <c r="I267" s="433">
        <f t="shared" si="165"/>
        <v>6.8046054733545219E-2</v>
      </c>
      <c r="J267" s="433">
        <f t="shared" si="137"/>
        <v>14.695929160269475</v>
      </c>
      <c r="K267" s="433">
        <f t="shared" si="166"/>
        <v>2.7813174708326138</v>
      </c>
      <c r="L267" s="433">
        <f t="shared" si="139"/>
        <v>0.44425056382338907</v>
      </c>
      <c r="M267" s="348">
        <v>25</v>
      </c>
      <c r="N267" s="434"/>
      <c r="O267" s="434" t="s">
        <v>600</v>
      </c>
      <c r="P267" s="100">
        <f>VLOOKUP(O267,References!$B$7:$F$252,5,FALSE)</f>
        <v>143</v>
      </c>
    </row>
    <row r="268" spans="1:16" x14ac:dyDescent="0.2">
      <c r="A268" s="904"/>
      <c r="B268" s="897"/>
      <c r="C268" s="905"/>
      <c r="D268" s="700">
        <v>4.3935949999999995</v>
      </c>
      <c r="E268" s="331" t="s">
        <v>599</v>
      </c>
      <c r="F268" s="432" t="s">
        <v>514</v>
      </c>
      <c r="G268" s="433">
        <f t="shared" si="164"/>
        <v>61356983.294554599</v>
      </c>
      <c r="H268" s="433">
        <f t="shared" si="135"/>
        <v>1.6298063338598812E-8</v>
      </c>
      <c r="I268" s="433">
        <f t="shared" si="165"/>
        <v>605.54634388901877</v>
      </c>
      <c r="J268" s="433">
        <f t="shared" si="137"/>
        <v>1.6514012677835185E-3</v>
      </c>
      <c r="K268" s="433">
        <f t="shared" si="166"/>
        <v>24751.12822120839</v>
      </c>
      <c r="L268" s="433">
        <f t="shared" si="139"/>
        <v>4.3935949999999995</v>
      </c>
      <c r="M268" s="348">
        <v>25</v>
      </c>
      <c r="N268" s="434"/>
      <c r="O268" s="434" t="s">
        <v>600</v>
      </c>
      <c r="P268" s="100">
        <f>VLOOKUP(O268,References!$B$7:$F$252,5,FALSE)</f>
        <v>143</v>
      </c>
    </row>
    <row r="269" spans="1:16" x14ac:dyDescent="0.2">
      <c r="A269" s="904"/>
      <c r="B269" s="897"/>
      <c r="C269" s="905"/>
      <c r="D269" s="331">
        <v>7776</v>
      </c>
      <c r="E269" s="331" t="s">
        <v>597</v>
      </c>
      <c r="F269" s="432" t="s">
        <v>27</v>
      </c>
      <c r="G269" s="433">
        <f t="shared" si="164"/>
        <v>7776</v>
      </c>
      <c r="H269" s="433">
        <f t="shared" si="135"/>
        <v>1.286008230452675E-4</v>
      </c>
      <c r="I269" s="433">
        <f t="shared" si="165"/>
        <v>7.6743153219837157E-2</v>
      </c>
      <c r="J269" s="433">
        <f t="shared" si="137"/>
        <v>13.030478395061728</v>
      </c>
      <c r="K269" s="433">
        <f t="shared" si="166"/>
        <v>3.1368030615872358</v>
      </c>
      <c r="L269" s="433">
        <f t="shared" si="139"/>
        <v>0.49648725317310971</v>
      </c>
      <c r="M269" s="348">
        <v>25</v>
      </c>
      <c r="N269" s="434"/>
      <c r="O269" s="434" t="s">
        <v>614</v>
      </c>
      <c r="P269" s="100">
        <f>VLOOKUP(O269,References!$B$7:$F$252,5,FALSE)</f>
        <v>133</v>
      </c>
    </row>
    <row r="270" spans="1:16" x14ac:dyDescent="0.2">
      <c r="A270" s="904"/>
      <c r="B270" s="897"/>
      <c r="C270" s="905"/>
      <c r="D270" s="331">
        <v>9202</v>
      </c>
      <c r="E270" s="331" t="s">
        <v>597</v>
      </c>
      <c r="F270" s="432" t="s">
        <v>610</v>
      </c>
      <c r="G270" s="433">
        <f>IF(ISBLANK(D270),"",IF(E270="log",K270*R_Pa*(M270+273.15)*0.001,IF(E270="dimensionless",K270*R_Pa*(M270+273.15)*0.001,IF(E270="Pa-m3/mol",D270,IF(E270="log Pa-m3/mol",10^D270,IF(E270="mol/dm3-atm",I270*101325,IF(E270="atm-m3/mol",I270*101325,0)))))))</f>
        <v>9202</v>
      </c>
      <c r="H270" s="433">
        <f>IF(ISBLANK(D270),"",1/G270)</f>
        <v>1.0867202782003912E-4</v>
      </c>
      <c r="I270" s="433">
        <f>IF(ISBLANK(D270),"",IF(E270="log",K270*R_atm*(M270+273.15)*0.001,IF(E270="dimensionless",K270*R_atm*(M270+273.15)*0.001,IF(E270="Pa-m3/mol",D270/101325,IF(E270="log Pa-m3/mol",(10^D270)/101325,IF(E270="mol/dm3-atm",1/(D270*1000),IF(E270="atm-m3/mol",D270,0)))))))</f>
        <v>9.0816679003207501E-2</v>
      </c>
      <c r="J270" s="433">
        <f>IF(ISBLANK(D270),"",1/I270)</f>
        <v>11.011193218865463</v>
      </c>
      <c r="K270" s="433">
        <f>IF(ISBLANK(D270),"",IF(E270="log",10^D270,IF(E270="dimensionless",D270,I270/(R_atm*(M270+273.15)*0.001))))</f>
        <v>3.712044981060409</v>
      </c>
      <c r="L270" s="433">
        <f>IF(ISBLANK(D270),"",IF(E270="log",D270,IF(E270="dimensionless",LOG(D270),LOG(K270))))</f>
        <v>0.56961323018366894</v>
      </c>
      <c r="M270" s="685">
        <v>25</v>
      </c>
      <c r="N270" s="434"/>
      <c r="O270" s="434" t="s">
        <v>611</v>
      </c>
      <c r="P270" s="100">
        <f>VLOOKUP(O270,References!$B$7:$F$252,5,FALSE)</f>
        <v>136</v>
      </c>
    </row>
    <row r="271" spans="1:16" x14ac:dyDescent="0.2">
      <c r="A271" s="904"/>
      <c r="B271" s="897"/>
      <c r="C271" s="905"/>
      <c r="D271" s="331">
        <v>4.67</v>
      </c>
      <c r="E271" s="331" t="s">
        <v>599</v>
      </c>
      <c r="F271" s="432" t="s">
        <v>601</v>
      </c>
      <c r="G271" s="433">
        <f>IF(ISBLANK(D271),"",IF(E271="log",K271*R_Pa*(M271+273.15)*0.001,IF(E271="dimensionless",K271*R_Pa*(M271+273.15)*0.001,IF(E271="Pa-m3/mol",D271,IF(E271="log Pa-m3/mol",10^D271,IF(E271="mol/dm3-atm",I271*101325,IF(E271="atm-m3/mol",I271*101325,0)))))))</f>
        <v>115949531.64859682</v>
      </c>
      <c r="H271" s="433">
        <f>IF(ISBLANK(D271),"",1/G271)</f>
        <v>8.6244419083179763E-9</v>
      </c>
      <c r="I271" s="433">
        <f>IF(ISBLANK(D271),"",IF(E271="log",K271*R_atm*(M271+273.15)*0.001,IF(E271="dimensionless",K271*R_atm*(M271+273.15)*0.001,IF(E271="Pa-m3/mol",D271/101325,IF(E271="log Pa-m3/mol",(10^D271)/101325,IF(E271="mol/dm3-atm",1/(D271*1000),IF(E271="atm-m3/mol",D271,0)))))))</f>
        <v>1144.3329054882531</v>
      </c>
      <c r="J271" s="433">
        <f>IF(ISBLANK(D271),"",1/I271)</f>
        <v>8.7387157636031572E-4</v>
      </c>
      <c r="K271" s="433">
        <f>IF(ISBLANK(D271),"",IF(E271="log",10^D271,IF(E271="dimensionless",D271,I271/(R_atm*(M271+273.15)*0.001))))</f>
        <v>46773.514128719893</v>
      </c>
      <c r="L271" s="433">
        <f>IF(ISBLANK(D271),"",IF(E271="log",D271,IF(E271="dimensionless",LOG(D271),LOG(K271))))</f>
        <v>4.67</v>
      </c>
      <c r="M271" s="331">
        <v>25</v>
      </c>
      <c r="N271" s="434"/>
      <c r="O271" s="434" t="s">
        <v>525</v>
      </c>
      <c r="P271" s="100">
        <f>VLOOKUP(O271,References!$B$7:$F$252,5,FALSE)</f>
        <v>61</v>
      </c>
    </row>
    <row r="272" spans="1:16" x14ac:dyDescent="0.2">
      <c r="A272" s="904"/>
      <c r="B272" s="897"/>
      <c r="C272" s="905"/>
      <c r="D272" s="331">
        <v>2.82</v>
      </c>
      <c r="E272" s="331" t="s">
        <v>595</v>
      </c>
      <c r="F272" s="432" t="s">
        <v>27</v>
      </c>
      <c r="G272" s="433">
        <f>IF(ISBLANK(D272),"",IF(E272="log",K272*R_Pa*(M272+273.15)*0.001,IF(E272="dimensionless",K272*R_Pa*(M272+273.15)*0.001,IF(E272="Pa-m3/mol",D272,IF(E272="log Pa-m3/mol",10^D272,IF(E272="mol/dm3-atm",I272*101325,IF(E272="atm-m3/mol",I272*101325,0)))))))</f>
        <v>6990.658823478735</v>
      </c>
      <c r="H272" s="433">
        <f>IF(ISBLANK(D272),"",1/G272)</f>
        <v>1.430480338478847E-4</v>
      </c>
      <c r="I272" s="433">
        <f>IF(ISBLANK(D272),"",IF(E272="log",K272*R_atm*(M272+273.15)*0.001,IF(E272="dimensionless",K272*R_atm*(M272+273.15)*0.001,IF(E272="Pa-m3/mol",D272/101325,IF(E272="log Pa-m3/mol",(10^D272)/101325,IF(E272="mol/dm3-atm",1/(D272*1000),IF(E272="atm-m3/mol",D272,0)))))))</f>
        <v>6.8992438425647784E-2</v>
      </c>
      <c r="J272" s="433">
        <f>IF(ISBLANK(D272),"",1/I272)</f>
        <v>14.494342029636863</v>
      </c>
      <c r="K272" s="433">
        <f>IF(ISBLANK(D272),"",IF(E272="log",10^D272,IF(E272="dimensionless",D272,I272/(R_atm*(M272+273.15)*0.001))))</f>
        <v>2.82</v>
      </c>
      <c r="L272" s="433">
        <f>IF(ISBLANK(D272),"",IF(E272="log",D272,IF(E272="dimensionless",LOG(D272),LOG(K272))))</f>
        <v>0.45024910831936105</v>
      </c>
      <c r="M272" s="331">
        <v>25</v>
      </c>
      <c r="N272" s="432">
        <v>6.69</v>
      </c>
      <c r="O272" s="434" t="s">
        <v>609</v>
      </c>
      <c r="P272" s="100">
        <f>VLOOKUP(O272,References!$B$7:$F$252,5,FALSE)</f>
        <v>4</v>
      </c>
    </row>
    <row r="273" spans="1:17" ht="17" thickBot="1" x14ac:dyDescent="0.25">
      <c r="A273" s="904"/>
      <c r="B273" s="897"/>
      <c r="C273" s="905"/>
      <c r="D273" s="331">
        <v>3.6700000000000003E-10</v>
      </c>
      <c r="E273" s="348" t="s">
        <v>594</v>
      </c>
      <c r="F273" s="432" t="s">
        <v>515</v>
      </c>
      <c r="G273" s="433">
        <f t="shared" si="164"/>
        <v>3.7186275000000005E-5</v>
      </c>
      <c r="H273" s="433">
        <f t="shared" si="135"/>
        <v>26891.642144850481</v>
      </c>
      <c r="I273" s="433">
        <f t="shared" si="165"/>
        <v>3.6700000000000003E-10</v>
      </c>
      <c r="J273" s="433">
        <f t="shared" si="137"/>
        <v>2724795640.3269753</v>
      </c>
      <c r="K273" s="433">
        <f t="shared" si="166"/>
        <v>1.5000774340152378E-8</v>
      </c>
      <c r="L273" s="433">
        <f t="shared" si="139"/>
        <v>-7.8238863220792885</v>
      </c>
      <c r="M273" s="348">
        <v>25</v>
      </c>
      <c r="N273" s="434"/>
      <c r="O273" s="434" t="s">
        <v>511</v>
      </c>
      <c r="P273" s="100">
        <f>VLOOKUP(O273,References!$B$7:$F$252,5,FALSE)</f>
        <v>36</v>
      </c>
    </row>
    <row r="274" spans="1:17" x14ac:dyDescent="0.2">
      <c r="A274" s="237" t="s">
        <v>415</v>
      </c>
      <c r="B274" s="129" t="s">
        <v>416</v>
      </c>
      <c r="C274" s="165"/>
      <c r="D274" s="75"/>
      <c r="E274" s="75"/>
      <c r="F274" s="75"/>
      <c r="G274" s="594"/>
      <c r="H274" s="594"/>
      <c r="I274" s="594"/>
      <c r="J274" s="594"/>
      <c r="K274" s="594"/>
      <c r="L274" s="107"/>
      <c r="M274" s="75"/>
      <c r="N274" s="75"/>
      <c r="O274" s="75"/>
      <c r="P274" s="76"/>
    </row>
    <row r="275" spans="1:17" s="2" customFormat="1" x14ac:dyDescent="0.2">
      <c r="A275" s="595" t="s">
        <v>615</v>
      </c>
      <c r="B275" s="296" t="s">
        <v>418</v>
      </c>
      <c r="C275" s="296" t="s">
        <v>419</v>
      </c>
      <c r="D275" s="683">
        <v>3.72E-6</v>
      </c>
      <c r="E275" s="296" t="s">
        <v>594</v>
      </c>
      <c r="F275" s="296" t="s">
        <v>30</v>
      </c>
      <c r="G275" s="466">
        <f>IF(ISBLANK(D275),"",IF(E275="log",K275*R_Pa*(M275+273.15)*0.001,IF(E275="dimensionless",K275*R_Pa*(M275+273.15)*0.001,IF(E275="Pa-m3/mol",D275,IF(E275="log Pa-m3/mol",10^D275,IF(E275="mol/dm3-atm",I275*101325,IF(E275="atm-m3/mol",I275*101325,0)))))))</f>
        <v>0.37692900000000001</v>
      </c>
      <c r="H275" s="711">
        <f>IF(ISBLANK(D275),"",1/G275)</f>
        <v>2.65301953418283</v>
      </c>
      <c r="I275" s="683">
        <f>IF(ISBLANK(D275),"",IF(E275="log",K275*R_atm*(M275+273.15)*0.001,IF(E275="dimensionless",K275*R_atm*(M275+273.15)*0.001,IF(E275="Pa-m3/mol",D275/101325,IF(E275="log Pa-m3/mol",(10^D275)/101325,IF(E275="mol/dm3-atm",1/(D275*1000),IF(E275="atm-m3/mol",D275,0)))))))</f>
        <v>3.72E-6</v>
      </c>
      <c r="J275" s="683">
        <f>IF(ISBLANK(D275),"",1/I275)</f>
        <v>268817.20430107525</v>
      </c>
      <c r="K275" s="596">
        <f>IF(ISBLANK(D275),"",IF(E275="log",10^D275,IF(E275="dimensionless",D275,I275/(R_atm*(M275+273.15)*0.001))))</f>
        <v>1.5205144562770257E-4</v>
      </c>
      <c r="L275" s="712">
        <f>IF(ISBLANK(D275),"",IF(E275="log",D275,IF(E275="dimensionless",LOG(D275),LOG(K275))))</f>
        <v>-3.8180094464494805</v>
      </c>
      <c r="M275" s="596">
        <v>25</v>
      </c>
      <c r="N275" s="425"/>
      <c r="O275" s="297" t="s">
        <v>511</v>
      </c>
      <c r="P275" s="173">
        <f>VLOOKUP(O275,References!$B$7:$F$252,5,FALSE)</f>
        <v>36</v>
      </c>
      <c r="Q275" s="30"/>
    </row>
    <row r="276" spans="1:17" ht="16" x14ac:dyDescent="0.2">
      <c r="A276" s="904" t="s">
        <v>423</v>
      </c>
      <c r="B276" s="897" t="s">
        <v>616</v>
      </c>
      <c r="C276" s="905" t="s">
        <v>426</v>
      </c>
      <c r="D276" s="432">
        <v>-2.13</v>
      </c>
      <c r="E276" s="348" t="s">
        <v>599</v>
      </c>
      <c r="F276" s="432" t="s">
        <v>522</v>
      </c>
      <c r="G276" s="433">
        <f t="shared" ref="G276:G283" si="167">IF(ISBLANK(D276),"",IF(E276="log",K276*R_Pa*(M276+273.15)*0.001,IF(E276="dimensionless",K276*R_Pa*(M276+273.15)*0.001,IF(E276="Pa-m3/mol",D276,IF(E276="log Pa-m3/mol",10^D276,IF(E276="mol/dm3-atm",I276*101325,IF(E276="atm-m3/mol",I276*101325,0)))))))</f>
        <v>18.37676233789152</v>
      </c>
      <c r="H276" s="433">
        <f t="shared" ref="H276:H283" si="168">IF(ISBLANK(D276),"",1/G276)</f>
        <v>5.4416549640960106E-2</v>
      </c>
      <c r="I276" s="433">
        <f t="shared" ref="I276:I283" si="169">IF(ISBLANK(D276),"",IF(E276="log",K276*R_atm*(M276+273.15)*0.001,IF(E276="dimensionless",K276*R_atm*(M276+273.15)*0.001,IF(E276="Pa-m3/mol",D276/101325,IF(E276="log Pa-m3/mol",(10^D276)/101325,IF(E276="mol/dm3-atm",1/(D276*1000),IF(E276="atm-m3/mol",D276,0)))))))</f>
        <v>1.813645431817576E-4</v>
      </c>
      <c r="J276" s="433">
        <f t="shared" ref="J276:J283" si="170">IF(ISBLANK(D276),"",1/I276)</f>
        <v>5513.756892370262</v>
      </c>
      <c r="K276" s="433">
        <f t="shared" ref="K276:K283" si="171">IF(ISBLANK(D276),"",IF(E276="log",10^D276,IF(E276="dimensionless",D276,I276/(R_atm*(M276+273.15)*0.001))))</f>
        <v>7.4131024130091741E-3</v>
      </c>
      <c r="L276" s="433">
        <f t="shared" ref="L276:L283" si="172">IF(ISBLANK(D276),"",IF(E276="log",D276,IF(E276="dimensionless",LOG(D276),LOG(K276))))</f>
        <v>-2.13</v>
      </c>
      <c r="M276" s="685">
        <v>25</v>
      </c>
      <c r="N276" s="434"/>
      <c r="O276" s="434" t="s">
        <v>533</v>
      </c>
      <c r="P276" s="100">
        <f>VLOOKUP(O276,References!$B$7:$F$252,5,FALSE)</f>
        <v>40</v>
      </c>
    </row>
    <row r="277" spans="1:17" ht="16" x14ac:dyDescent="0.2">
      <c r="A277" s="904"/>
      <c r="B277" s="897"/>
      <c r="C277" s="905"/>
      <c r="D277" s="697">
        <v>7.4700000000000005E-4</v>
      </c>
      <c r="E277" s="348" t="s">
        <v>594</v>
      </c>
      <c r="F277" s="432" t="s">
        <v>571</v>
      </c>
      <c r="G277" s="433">
        <f t="shared" si="167"/>
        <v>75.689775000000012</v>
      </c>
      <c r="H277" s="433">
        <f t="shared" si="168"/>
        <v>1.3211824186292003E-2</v>
      </c>
      <c r="I277" s="433">
        <f t="shared" si="169"/>
        <v>7.4700000000000005E-4</v>
      </c>
      <c r="J277" s="433">
        <f t="shared" si="170"/>
        <v>1338.6880856760374</v>
      </c>
      <c r="K277" s="433">
        <f t="shared" si="171"/>
        <v>3.0532911259111242E-2</v>
      </c>
      <c r="L277" s="433">
        <f t="shared" si="172"/>
        <v>-1.5152317845159791</v>
      </c>
      <c r="M277" s="685">
        <v>25</v>
      </c>
      <c r="N277" s="434"/>
      <c r="O277" s="434" t="s">
        <v>606</v>
      </c>
      <c r="P277" s="100">
        <f>VLOOKUP(O277,References!$B$7:$F$252,5,FALSE)</f>
        <v>135</v>
      </c>
    </row>
    <row r="278" spans="1:17" ht="16" x14ac:dyDescent="0.2">
      <c r="A278" s="904"/>
      <c r="B278" s="897"/>
      <c r="C278" s="905"/>
      <c r="D278" s="697">
        <v>2.05E-4</v>
      </c>
      <c r="E278" s="348" t="s">
        <v>594</v>
      </c>
      <c r="F278" s="432" t="s">
        <v>513</v>
      </c>
      <c r="G278" s="433">
        <f t="shared" si="167"/>
        <v>20.771625</v>
      </c>
      <c r="H278" s="433">
        <f t="shared" si="168"/>
        <v>4.8142598376390872E-2</v>
      </c>
      <c r="I278" s="433">
        <f t="shared" si="169"/>
        <v>2.05E-4</v>
      </c>
      <c r="J278" s="433">
        <f t="shared" si="170"/>
        <v>4878.0487804878048</v>
      </c>
      <c r="K278" s="433">
        <f t="shared" si="171"/>
        <v>8.3791791273330717E-3</v>
      </c>
      <c r="L278" s="433">
        <f t="shared" si="172"/>
        <v>-2.0767985252756236</v>
      </c>
      <c r="M278" s="685">
        <v>25</v>
      </c>
      <c r="N278" s="434"/>
      <c r="O278" s="434" t="s">
        <v>606</v>
      </c>
      <c r="P278" s="100">
        <f>VLOOKUP(O278,References!$B$7:$F$252,5,FALSE)</f>
        <v>135</v>
      </c>
    </row>
    <row r="279" spans="1:17" ht="16" x14ac:dyDescent="0.2">
      <c r="A279" s="904"/>
      <c r="B279" s="897"/>
      <c r="C279" s="903"/>
      <c r="D279" s="686">
        <v>2.2200000000000001E-10</v>
      </c>
      <c r="E279" s="588" t="s">
        <v>594</v>
      </c>
      <c r="F279" s="686" t="s">
        <v>515</v>
      </c>
      <c r="G279" s="469">
        <f>IF(ISBLANK(D279),"",IF(E279="log",K279*R_Pa*(M279+273.15)*0.001,IF(E279="dimensionless",K279*R_Pa*(M279+273.15)*0.001,IF(E279="Pa-m3/mol",D279,IF(E279="log Pa-m3/mol",10^D279,IF(E279="mol/dm3-atm",I279*101325,IF(E279="atm-m3/mol",I279*101325,0)))))))</f>
        <v>2.2494150000000002E-5</v>
      </c>
      <c r="H279" s="469">
        <f>IF(ISBLANK(D279),"",1/G279)</f>
        <v>44456.003005225801</v>
      </c>
      <c r="I279" s="469">
        <f>IF(ISBLANK(D279),"",IF(E279="log",K279*R_atm*(M279+273.15)*0.001,IF(E279="dimensionless",K279*R_atm*(M279+273.15)*0.001,IF(E279="Pa-m3/mol",D279/101325,IF(E279="log Pa-m3/mol",(10^D279)/101325,IF(E279="mol/dm3-atm",1/(D279*1000),IF(E279="atm-m3/mol",D279,0)))))))</f>
        <v>2.2200000000000001E-10</v>
      </c>
      <c r="J279" s="469">
        <f>IF(ISBLANK(D279),"",1/I279)</f>
        <v>4504504504.5045042</v>
      </c>
      <c r="K279" s="469">
        <f>IF(ISBLANK(D279),"",IF(E279="log",10^D279,IF(E279="dimensionless",D279,I279/(R_atm*(M279+273.15)*0.001))))</f>
        <v>9.0740378842338626E-9</v>
      </c>
      <c r="L279" s="469">
        <f>IF(ISBLANK(D279),"",IF(E279="log",D279,IF(E279="dimensionless",LOG(D279),LOG(K279))))</f>
        <v>-8.0421994118807394</v>
      </c>
      <c r="M279" s="588">
        <v>25</v>
      </c>
      <c r="N279" s="678"/>
      <c r="O279" s="678" t="s">
        <v>511</v>
      </c>
      <c r="P279" s="122">
        <f>VLOOKUP(O279,References!$B$7:$F$252,5,FALSE)</f>
        <v>36</v>
      </c>
    </row>
    <row r="280" spans="1:17" ht="17" x14ac:dyDescent="0.2">
      <c r="A280" s="322" t="s">
        <v>432</v>
      </c>
      <c r="B280" s="153" t="s">
        <v>617</v>
      </c>
      <c r="C280" s="153" t="s">
        <v>435</v>
      </c>
      <c r="D280" s="239">
        <v>2.2200000000000001E-10</v>
      </c>
      <c r="E280" s="348" t="s">
        <v>594</v>
      </c>
      <c r="F280" s="432" t="s">
        <v>515</v>
      </c>
      <c r="G280" s="469">
        <v>2.2494150000000002E-5</v>
      </c>
      <c r="H280" s="469">
        <v>44456.003005225801</v>
      </c>
      <c r="I280" s="469">
        <v>2.2200000000000001E-10</v>
      </c>
      <c r="J280" s="469">
        <v>4504504504.5045042</v>
      </c>
      <c r="K280" s="469">
        <v>9.0740378842338626E-9</v>
      </c>
      <c r="L280" s="433">
        <v>-8.0421994118807394</v>
      </c>
      <c r="M280" s="348">
        <v>25</v>
      </c>
      <c r="N280" s="434"/>
      <c r="O280" s="434" t="s">
        <v>511</v>
      </c>
      <c r="P280" s="100">
        <f>VLOOKUP(O280,References!$B$7:$F$252,5,FALSE)</f>
        <v>36</v>
      </c>
    </row>
    <row r="281" spans="1:17" ht="16" x14ac:dyDescent="0.2">
      <c r="A281" s="295" t="s">
        <v>437</v>
      </c>
      <c r="B281" s="59" t="s">
        <v>438</v>
      </c>
      <c r="C281" s="131" t="s">
        <v>440</v>
      </c>
      <c r="D281" s="230">
        <v>3.0299999999999999E-10</v>
      </c>
      <c r="E281" s="163" t="s">
        <v>594</v>
      </c>
      <c r="F281" s="231" t="s">
        <v>515</v>
      </c>
      <c r="G281" s="469">
        <f t="shared" si="167"/>
        <v>3.0701474999999996E-5</v>
      </c>
      <c r="H281" s="469">
        <f t="shared" si="168"/>
        <v>32571.724974125842</v>
      </c>
      <c r="I281" s="469">
        <f t="shared" si="169"/>
        <v>3.0299999999999999E-10</v>
      </c>
      <c r="J281" s="469">
        <f t="shared" si="170"/>
        <v>3300330033.0033007</v>
      </c>
      <c r="K281" s="469">
        <f t="shared" si="171"/>
        <v>1.2384835490643514E-8</v>
      </c>
      <c r="L281" s="525">
        <f t="shared" si="172"/>
        <v>-7.9071097578290725</v>
      </c>
      <c r="M281" s="163">
        <v>25</v>
      </c>
      <c r="N281" s="164"/>
      <c r="O281" s="691" t="s">
        <v>511</v>
      </c>
      <c r="P281" s="124">
        <f>VLOOKUP(O281,References!$B$7:$F$252,5,FALSE)</f>
        <v>36</v>
      </c>
    </row>
    <row r="282" spans="1:17" ht="16" x14ac:dyDescent="0.2">
      <c r="A282" s="143" t="s">
        <v>444</v>
      </c>
      <c r="B282" s="131" t="s">
        <v>445</v>
      </c>
      <c r="C282" s="131" t="s">
        <v>447</v>
      </c>
      <c r="D282" s="230">
        <v>4.3600000000000003E-4</v>
      </c>
      <c r="E282" s="163" t="s">
        <v>594</v>
      </c>
      <c r="F282" s="231" t="s">
        <v>515</v>
      </c>
      <c r="G282" s="469">
        <f t="shared" si="167"/>
        <v>44.177700000000002</v>
      </c>
      <c r="H282" s="469">
        <f t="shared" si="168"/>
        <v>2.2635854741192955E-2</v>
      </c>
      <c r="I282" s="469">
        <f t="shared" si="169"/>
        <v>4.3600000000000003E-4</v>
      </c>
      <c r="J282" s="469">
        <f t="shared" si="170"/>
        <v>2293.5779816513759</v>
      </c>
      <c r="K282" s="469">
        <f t="shared" si="171"/>
        <v>1.7821083412279119E-2</v>
      </c>
      <c r="L282" s="525">
        <f t="shared" si="172"/>
        <v>-1.7490658970627917</v>
      </c>
      <c r="M282" s="163">
        <v>25</v>
      </c>
      <c r="N282" s="164"/>
      <c r="O282" s="691" t="s">
        <v>511</v>
      </c>
      <c r="P282" s="124">
        <f>VLOOKUP(O282,References!$B$7:$F$252,5,FALSE)</f>
        <v>36</v>
      </c>
    </row>
    <row r="283" spans="1:17" ht="16" x14ac:dyDescent="0.2">
      <c r="A283" s="137" t="s">
        <v>451</v>
      </c>
      <c r="B283" s="138" t="s">
        <v>452</v>
      </c>
      <c r="C283" s="138" t="s">
        <v>454</v>
      </c>
      <c r="D283" s="232">
        <v>1.06E-10</v>
      </c>
      <c r="E283" s="233" t="s">
        <v>594</v>
      </c>
      <c r="F283" s="233" t="s">
        <v>515</v>
      </c>
      <c r="G283" s="604">
        <f t="shared" si="167"/>
        <v>1.074045E-5</v>
      </c>
      <c r="H283" s="604">
        <f t="shared" si="168"/>
        <v>93105.968558114415</v>
      </c>
      <c r="I283" s="604">
        <f t="shared" si="169"/>
        <v>1.06E-10</v>
      </c>
      <c r="J283" s="604">
        <f t="shared" si="170"/>
        <v>9433962264.1509438</v>
      </c>
      <c r="K283" s="604">
        <f t="shared" si="171"/>
        <v>4.3326487194990512E-9</v>
      </c>
      <c r="L283" s="604">
        <f t="shared" si="172"/>
        <v>-8.3632465210666069</v>
      </c>
      <c r="M283" s="240">
        <v>25</v>
      </c>
      <c r="N283" s="174"/>
      <c r="O283" s="688" t="s">
        <v>511</v>
      </c>
      <c r="P283" s="101">
        <f>VLOOKUP(O283,References!$B$7:$F$252,5,FALSE)</f>
        <v>36</v>
      </c>
    </row>
    <row r="284" spans="1:17" s="2" customFormat="1" x14ac:dyDescent="0.2">
      <c r="A284" s="362" t="s">
        <v>458</v>
      </c>
      <c r="B284" s="144" t="s">
        <v>459</v>
      </c>
      <c r="C284" s="363"/>
      <c r="D284" s="358"/>
      <c r="E284" s="358"/>
      <c r="F284" s="358"/>
      <c r="G284" s="713"/>
      <c r="H284" s="713"/>
      <c r="I284" s="713"/>
      <c r="J284" s="713"/>
      <c r="K284" s="713"/>
      <c r="L284" s="359"/>
      <c r="M284" s="358"/>
      <c r="N284" s="358"/>
      <c r="O284" s="358"/>
      <c r="P284" s="103"/>
    </row>
    <row r="285" spans="1:17" ht="32" x14ac:dyDescent="0.2">
      <c r="A285" s="170" t="s">
        <v>460</v>
      </c>
      <c r="B285" s="171" t="s">
        <v>461</v>
      </c>
      <c r="C285" s="172" t="s">
        <v>463</v>
      </c>
      <c r="D285" s="172">
        <v>3.1699999999999999E-10</v>
      </c>
      <c r="E285" s="714" t="s">
        <v>594</v>
      </c>
      <c r="F285" s="172" t="s">
        <v>515</v>
      </c>
      <c r="G285" s="596">
        <f>IF(ISBLANK(D285),"",IF(E285="log",K285*R_Pa*(M285+273.15)*0.001,IF(E285="dimensionless",K285*R_Pa*(M285+273.15)*0.001,IF(E285="Pa-m3/mol",D285,IF(E285="log Pa-m3/mol",10^D285,IF(E285="mol/dm3-atm",I285*101325,IF(E285="atm-m3/mol",I285*101325,0)))))))</f>
        <v>3.2120024999999999E-5</v>
      </c>
      <c r="H285" s="596">
        <f>IF(ISBLANK(D285),"",1/G285)</f>
        <v>31133.226079369491</v>
      </c>
      <c r="I285" s="596">
        <f>IF(ISBLANK(D285),"",IF(E285="log",K285*R_atm*(M285+273.15)*0.001,IF(E285="dimensionless",K285*R_atm*(M285+273.15)*0.001,IF(E285="Pa-m3/mol",D285/101325,IF(E285="log Pa-m3/mol",(10^D285)/101325,IF(E285="mol/dm3-atm",1/(D285*1000),IF(E285="atm-m3/mol",D285,0)))))))</f>
        <v>3.1699999999999999E-10</v>
      </c>
      <c r="J285" s="596">
        <f>IF(ISBLANK(D285),"",1/I285)</f>
        <v>3154574132.4921136</v>
      </c>
      <c r="K285" s="596">
        <f>IF(ISBLANK(D285),"",IF(E285="log",10^D285,IF(E285="dimensionless",D285,I285/(R_atm*(M285+273.15)*0.001))))</f>
        <v>1.2957072113973578E-8</v>
      </c>
      <c r="L285" s="596">
        <f>IF(ISBLANK(D285),"",IF(E285="log",D285,IF(E285="dimensionless",LOG(D285),LOG(K285))))</f>
        <v>-7.8874931241136261</v>
      </c>
      <c r="M285" s="714">
        <v>25</v>
      </c>
      <c r="N285" s="684"/>
      <c r="O285" s="715" t="s">
        <v>511</v>
      </c>
      <c r="P285" s="234">
        <f>VLOOKUP(O285,References!$B$7:$F$252,5,FALSE)</f>
        <v>36</v>
      </c>
    </row>
    <row r="286" spans="1:17" ht="32" x14ac:dyDescent="0.2">
      <c r="A286" s="123" t="s">
        <v>464</v>
      </c>
      <c r="B286" s="118" t="s">
        <v>465</v>
      </c>
      <c r="C286" s="119" t="s">
        <v>467</v>
      </c>
      <c r="D286" s="119">
        <v>1.7700000000000001E-11</v>
      </c>
      <c r="E286" s="163" t="s">
        <v>594</v>
      </c>
      <c r="F286" s="119" t="s">
        <v>515</v>
      </c>
      <c r="G286" s="469">
        <f>IF(ISBLANK(D286),"",IF(E286="log",K286*R_Pa*(M286+273.15)*0.001,IF(E286="dimensionless",K286*R_Pa*(M286+273.15)*0.001,IF(E286="Pa-m3/mol",D286,IF(E286="log Pa-m3/mol",10^D286,IF(E286="mol/dm3-atm",I286*101325,IF(E286="atm-m3/mol",I286*101325,0)))))))</f>
        <v>1.7934525000000001E-6</v>
      </c>
      <c r="H286" s="469">
        <f>IF(ISBLANK(D286),"",1/G286)</f>
        <v>557583.76650622184</v>
      </c>
      <c r="I286" s="469">
        <f>IF(ISBLANK(D286),"",IF(E286="log",K286*R_atm*(M286+273.15)*0.001,IF(E286="dimensionless",K286*R_atm*(M286+273.15)*0.001,IF(E286="Pa-m3/mol",D286/101325,IF(E286="log Pa-m3/mol",(10^D286)/101325,IF(E286="mol/dm3-atm",1/(D286*1000),IF(E286="atm-m3/mol",D286,0)))))))</f>
        <v>1.7700000000000001E-11</v>
      </c>
      <c r="J286" s="469">
        <f>IF(ISBLANK(D286),"",1/I286)</f>
        <v>56497175141.242935</v>
      </c>
      <c r="K286" s="469">
        <f>IF(ISBLANK(D286),"",IF(E286="log",10^D286,IF(E286="dimensionless",D286,I286/(R_atm*(M286+273.15)*0.001))))</f>
        <v>7.2347058806729449E-10</v>
      </c>
      <c r="L286" s="525">
        <f>IF(ISBLANK(D286),"",IF(E286="log",D286,IF(E286="dimensionless",LOG(D286),LOG(K286))))</f>
        <v>-9.140579119969571</v>
      </c>
      <c r="M286" s="163">
        <v>25</v>
      </c>
      <c r="N286" s="691"/>
      <c r="O286" s="704" t="s">
        <v>511</v>
      </c>
      <c r="P286" s="235">
        <f>VLOOKUP(O286,References!$B$7:$F$252,5,FALSE)</f>
        <v>36</v>
      </c>
    </row>
    <row r="287" spans="1:17" ht="16" x14ac:dyDescent="0.2">
      <c r="A287" s="137" t="s">
        <v>468</v>
      </c>
      <c r="B287" s="138" t="s">
        <v>469</v>
      </c>
      <c r="C287" s="138" t="s">
        <v>471</v>
      </c>
      <c r="D287" s="232">
        <v>2.2300000000000001E-10</v>
      </c>
      <c r="E287" s="716" t="s">
        <v>594</v>
      </c>
      <c r="F287" s="233" t="s">
        <v>515</v>
      </c>
      <c r="G287" s="604">
        <f>IF(ISBLANK(D287),"",IF(E287="log",K287*R_Pa*(M287+273.15)*0.001,IF(E287="dimensionless",K287*R_Pa*(M287+273.15)*0.001,IF(E287="Pa-m3/mol",D287,IF(E287="log Pa-m3/mol",10^D287,IF(E287="mol/dm3-atm",I287*101325,IF(E287="atm-m3/mol",I287*101325,0)))))))</f>
        <v>2.2595474999999999E-5</v>
      </c>
      <c r="H287" s="604">
        <f>IF(ISBLANK(D287),"",1/G287)</f>
        <v>44256.64873165977</v>
      </c>
      <c r="I287" s="604">
        <f>IF(ISBLANK(D287),"",IF(E287="log",K287*R_atm*(M287+273.15)*0.001,IF(E287="dimensionless",K287*R_atm*(M287+273.15)*0.001,IF(E287="Pa-m3/mol",D287/101325,IF(E287="log Pa-m3/mol",(10^D287)/101325,IF(E287="mol/dm3-atm",1/(D287*1000),IF(E287="atm-m3/mol",D287,0)))))))</f>
        <v>2.2300000000000001E-10</v>
      </c>
      <c r="J287" s="604">
        <f>IF(ISBLANK(D287),"",1/I287)</f>
        <v>4484304932.7354259</v>
      </c>
      <c r="K287" s="604">
        <f>IF(ISBLANK(D287),"",IF(E287="log",10^D287,IF(E287="dimensionless",D287,I287/(R_atm*(M287+273.15)*0.001))))</f>
        <v>9.1149119287574395E-9</v>
      </c>
      <c r="L287" s="717">
        <f>IF(ISBLANK(D287),"",IF(E287="log",D287,IF(E287="dimensionless",LOG(D287),LOG(K287))))</f>
        <v>-8.0402475232832167</v>
      </c>
      <c r="M287" s="716">
        <v>25</v>
      </c>
      <c r="N287" s="718"/>
      <c r="O287" s="719" t="s">
        <v>511</v>
      </c>
      <c r="P287" s="365">
        <f>VLOOKUP(O287,References!$B$7:$F$252,5,FALSE)</f>
        <v>36</v>
      </c>
    </row>
    <row r="288" spans="1:17" customFormat="1" ht="16" x14ac:dyDescent="0.2">
      <c r="A288" s="720" t="s">
        <v>475</v>
      </c>
      <c r="B288" s="364"/>
      <c r="C288" s="363"/>
      <c r="D288" s="358"/>
      <c r="E288" s="358"/>
      <c r="F288" s="358"/>
      <c r="G288" s="713"/>
      <c r="H288" s="713"/>
      <c r="I288" s="713"/>
      <c r="J288" s="713"/>
      <c r="K288" s="713"/>
      <c r="L288" s="359"/>
      <c r="M288" s="358"/>
      <c r="N288" s="358"/>
      <c r="O288" s="358"/>
      <c r="P288" s="103"/>
    </row>
    <row r="289" spans="1:19" ht="18" customHeight="1" x14ac:dyDescent="0.2">
      <c r="A289" s="922" t="s">
        <v>476</v>
      </c>
      <c r="B289" s="923" t="s">
        <v>477</v>
      </c>
      <c r="C289" s="924" t="s">
        <v>479</v>
      </c>
      <c r="D289" s="721">
        <v>-2.94</v>
      </c>
      <c r="E289" s="590" t="s">
        <v>599</v>
      </c>
      <c r="F289" s="721" t="s">
        <v>522</v>
      </c>
      <c r="G289" s="603">
        <f>IF(ISBLANK(D289),"",IF(E289="log",K289*R_Pa*(M289+273.15)*0.001,IF(E289="dimensionless",K289*R_Pa*(M289+273.15)*0.001,IF(E289="Pa-m3/mol",D289,IF(E289="log Pa-m3/mol",10^D289,IF(E289="mol/dm3-atm",I289*101325,IF(E289="atm-m3/mol",I289*101325,0)))))))</f>
        <v>2.8462234910731365</v>
      </c>
      <c r="H289" s="603">
        <f>IF(ISBLANK(D289),"",1/G289)</f>
        <v>0.35134275405160165</v>
      </c>
      <c r="I289" s="603">
        <f>IF(ISBLANK(D289),"",IF(E289="log",K289*R_atm*(M289+273.15)*0.001,IF(E289="dimensionless",K289*R_atm*(M289+273.15)*0.001,IF(E289="Pa-m3/mol",D289/101325,IF(E289="log Pa-m3/mol",(10^D289)/101325,IF(E289="mol/dm3-atm",1/(D289*1000),IF(E289="atm-m3/mol",D289,0)))))))</f>
        <v>2.8090041856137649E-5</v>
      </c>
      <c r="J289" s="603">
        <f>IF(ISBLANK(D289),"",1/I289)</f>
        <v>35599.804554278402</v>
      </c>
      <c r="K289" s="603">
        <f>IF(ISBLANK(D289),"",IF(E289="log",10^D289,IF(E289="dimensionless",D289,I289/(R_atm*(M289+273.15)*0.001))))</f>
        <v>1.1481536214968825E-3</v>
      </c>
      <c r="L289" s="603">
        <f>IF(ISBLANK(D289),"",IF(E289="log",D289,IF(E289="dimensionless",LOG(D289),LOG(K289))))</f>
        <v>-2.94</v>
      </c>
      <c r="M289" s="722">
        <v>25</v>
      </c>
      <c r="N289" s="723"/>
      <c r="O289" s="723" t="s">
        <v>523</v>
      </c>
      <c r="P289" s="99">
        <f>VLOOKUP(O289,References!$B$7:$F$252,5,FALSE)</f>
        <v>127</v>
      </c>
    </row>
    <row r="290" spans="1:19" ht="16" x14ac:dyDescent="0.2">
      <c r="A290" s="904"/>
      <c r="B290" s="897"/>
      <c r="C290" s="905"/>
      <c r="D290" s="432">
        <v>-2.2599999999999998</v>
      </c>
      <c r="E290" s="348" t="s">
        <v>599</v>
      </c>
      <c r="F290" s="432" t="s">
        <v>522</v>
      </c>
      <c r="G290" s="433">
        <f>IF(ISBLANK(D290),"",IF(E290="log",K290*R_Pa*(M290+273.15)*0.001,IF(E290="dimensionless",K290*R_Pa*(M290+273.15)*0.001,IF(E290="Pa-m3/mol",D290,IF(E290="log Pa-m3/mol",10^D290,IF(E290="mol/dm3-atm",I290*101325,IF(E290="atm-m3/mol",I290*101325,0)))))))</f>
        <v>13.622882123031983</v>
      </c>
      <c r="H290" s="433">
        <f>IF(ISBLANK(D290),"",1/G290)</f>
        <v>7.3405905664361323E-2</v>
      </c>
      <c r="I290" s="433">
        <f>IF(ISBLANK(D290),"",IF(E290="log",K290*R_atm*(M290+273.15)*0.001,IF(E290="dimensionless",K290*R_atm*(M290+273.15)*0.001,IF(E290="Pa-m3/mol",D290/101325,IF(E290="log Pa-m3/mol",(10^D290)/101325,IF(E290="mol/dm3-atm",1/(D290*1000),IF(E290="atm-m3/mol",D290,0)))))))</f>
        <v>1.3444739326949945E-4</v>
      </c>
      <c r="J290" s="433">
        <f>IF(ISBLANK(D290),"",1/I290)</f>
        <v>7437.8533914413838</v>
      </c>
      <c r="K290" s="433">
        <f>IF(ISBLANK(D290),"",IF(E290="log",10^D290,IF(E290="dimensionless",D290,I290/(R_atm*(M290+273.15)*0.001))))</f>
        <v>5.4954087385762473E-3</v>
      </c>
      <c r="L290" s="433">
        <f>IF(ISBLANK(D290),"",IF(E290="log",D290,IF(E290="dimensionless",LOG(D290),LOG(K290))))</f>
        <v>-2.2599999999999998</v>
      </c>
      <c r="M290" s="685">
        <v>25</v>
      </c>
      <c r="N290" s="434"/>
      <c r="O290" s="434" t="s">
        <v>533</v>
      </c>
      <c r="P290" s="100">
        <f>VLOOKUP(O290,References!$B$7:$F$252,5,FALSE)</f>
        <v>40</v>
      </c>
    </row>
    <row r="291" spans="1:19" ht="16" x14ac:dyDescent="0.2">
      <c r="A291" s="909"/>
      <c r="B291" s="910"/>
      <c r="C291" s="911"/>
      <c r="D291" s="724">
        <v>1.8E-10</v>
      </c>
      <c r="E291" s="240" t="s">
        <v>594</v>
      </c>
      <c r="F291" s="724" t="s">
        <v>515</v>
      </c>
      <c r="G291" s="604">
        <f>IF(ISBLANK(D291),"",IF(E291="log",K291*R_Pa*(M291+273.15)*0.001,IF(E291="dimensionless",K291*R_Pa*(M291+273.15)*0.001,IF(E291="Pa-m3/mol",D291,IF(E291="log Pa-m3/mol",10^D291,IF(E291="mol/dm3-atm",I291*101325,IF(E291="atm-m3/mol",I291*101325,0)))))))</f>
        <v>1.8238499999999998E-5</v>
      </c>
      <c r="H291" s="604">
        <f>IF(ISBLANK(D291),"",1/G291)</f>
        <v>54829.070373111826</v>
      </c>
      <c r="I291" s="604">
        <f>IF(ISBLANK(D291),"",IF(E291="log",K291*R_atm*(M291+273.15)*0.001,IF(E291="dimensionless",K291*R_atm*(M291+273.15)*0.001,IF(E291="Pa-m3/mol",D291/101325,IF(E291="log Pa-m3/mol",(10^D291)/101325,IF(E291="mol/dm3-atm",1/(D291*1000),IF(E291="atm-m3/mol",D291,0)))))))</f>
        <v>1.8E-10</v>
      </c>
      <c r="J291" s="604">
        <f>IF(ISBLANK(D291),"",1/I291)</f>
        <v>5555555555.5555553</v>
      </c>
      <c r="K291" s="604">
        <f>IF(ISBLANK(D291),"",IF(E291="log",10^D291,IF(E291="dimensionless",D291,I291/(R_atm*(M291+273.15)*0.001))))</f>
        <v>7.3573280142436726E-9</v>
      </c>
      <c r="L291" s="604">
        <f>IF(ISBLANK(D291),"",IF(E291="log",D291,IF(E291="dimensionless",LOG(D291),LOG(K291))))</f>
        <v>-8.1332798812280718</v>
      </c>
      <c r="M291" s="240">
        <v>25</v>
      </c>
      <c r="N291" s="688"/>
      <c r="O291" s="688" t="s">
        <v>511</v>
      </c>
      <c r="P291" s="101">
        <f>VLOOKUP(O291,References!$B$7:$F$252,5,FALSE)</f>
        <v>36</v>
      </c>
    </row>
    <row r="292" spans="1:19" s="2" customFormat="1" x14ac:dyDescent="0.2">
      <c r="A292" s="237" t="s">
        <v>481</v>
      </c>
      <c r="B292" s="129"/>
      <c r="C292" s="82"/>
      <c r="D292" s="79"/>
      <c r="E292" s="79"/>
      <c r="F292" s="79"/>
      <c r="G292" s="79"/>
      <c r="H292" s="79"/>
      <c r="I292" s="79"/>
      <c r="J292" s="128"/>
      <c r="K292" s="79"/>
      <c r="L292" s="79"/>
      <c r="M292" s="79"/>
      <c r="N292" s="79"/>
      <c r="O292" s="79"/>
      <c r="P292" s="80"/>
      <c r="Q292" s="3"/>
    </row>
    <row r="293" spans="1:19" s="2" customFormat="1" ht="18.75" customHeight="1" thickBot="1" x14ac:dyDescent="0.25">
      <c r="A293" s="606" t="s">
        <v>482</v>
      </c>
      <c r="B293" s="607" t="s">
        <v>483</v>
      </c>
      <c r="C293" s="607" t="s">
        <v>484</v>
      </c>
      <c r="D293" s="725">
        <v>3.1600000000000002E-5</v>
      </c>
      <c r="E293" s="607" t="s">
        <v>594</v>
      </c>
      <c r="F293" s="491" t="s">
        <v>515</v>
      </c>
      <c r="G293" s="609">
        <f>IF(ISBLANK(D293),"",IF(E293="log",K293*R_Pa*(M293+273.15)*0.001,IF(E293="dimensionless",K293*R_Pa*(M293+273.15)*0.001,IF(E293="Pa-m3/mol",D293,IF(E293="log Pa-m3/mol",10^D293,IF(E293="mol/dm3-atm",I293*101325,IF(E293="atm-m3/mol",I293*101325,0)))))))</f>
        <v>3.2018700000000004</v>
      </c>
      <c r="H293" s="609">
        <f>IF(ISBLANK(D293),"",1/G293)</f>
        <v>0.31231748946709265</v>
      </c>
      <c r="I293" s="609">
        <f>IF(ISBLANK(D293),"",IF(E293="log",K293*R_atm*(M293+273.15)*0.001,IF(E293="dimensionless",K293*R_atm*(M293+273.15)*0.001,IF(E293="Pa-m3/mol",D293/101325,IF(E293="log Pa-m3/mol",(10^D293)/101325,IF(E293="mol/dm3-atm",1/(D293*1000),IF(E293="atm-m3/mol",D293,0)))))))</f>
        <v>3.1600000000000002E-5</v>
      </c>
      <c r="J293" s="609">
        <f>IF(ISBLANK(D293),"",1/I293)</f>
        <v>31645.569620253162</v>
      </c>
      <c r="K293" s="609">
        <f>IF(ISBLANK(D293),"",IF(E293="log",10^D293,IF(E293="dimensionless",D293,I293/(R_atm*(M293+273.15)*0.001))))</f>
        <v>1.2916198069450003E-3</v>
      </c>
      <c r="L293" s="609">
        <f>IF(ISBLANK(D293),"",IF(E293="log",D293,IF(E293="dimensionless",LOG(D293),LOG(K293))))</f>
        <v>-2.8888653037129739</v>
      </c>
      <c r="M293" s="609">
        <v>25</v>
      </c>
      <c r="N293" s="491"/>
      <c r="O293" s="610" t="s">
        <v>511</v>
      </c>
      <c r="P293" s="102">
        <f>VLOOKUP(O293,References!$B$7:$F$252,5,FALSE)</f>
        <v>36</v>
      </c>
      <c r="Q293" s="3"/>
    </row>
    <row r="295" spans="1:19" customFormat="1" ht="16" x14ac:dyDescent="0.2">
      <c r="A295" s="66" t="s">
        <v>487</v>
      </c>
      <c r="G295" s="62"/>
      <c r="H295" s="62"/>
      <c r="I295" s="62"/>
      <c r="J295" s="62"/>
      <c r="K295" s="62"/>
      <c r="L295" s="62"/>
      <c r="M295" s="62"/>
      <c r="N295" s="63"/>
    </row>
    <row r="296" spans="1:19" customFormat="1" ht="16" x14ac:dyDescent="0.2">
      <c r="A296" s="413" t="s">
        <v>618</v>
      </c>
      <c r="B296" s="510"/>
      <c r="C296" s="510"/>
      <c r="D296" s="510"/>
      <c r="G296" s="62"/>
      <c r="H296" s="62"/>
      <c r="I296" s="62"/>
      <c r="J296" s="62"/>
      <c r="K296" s="62"/>
      <c r="L296" s="62"/>
      <c r="M296" s="62"/>
      <c r="N296" s="63"/>
    </row>
    <row r="297" spans="1:19" customFormat="1" ht="17" x14ac:dyDescent="0.25">
      <c r="A297" s="2" t="s">
        <v>619</v>
      </c>
      <c r="G297" s="62"/>
      <c r="H297" s="62"/>
      <c r="I297" s="62"/>
      <c r="J297" s="62"/>
      <c r="K297" s="62"/>
      <c r="L297" s="62"/>
      <c r="M297" s="62"/>
      <c r="N297" s="63"/>
    </row>
    <row r="298" spans="1:19" customFormat="1" ht="16" x14ac:dyDescent="0.2">
      <c r="A298" s="925" t="s">
        <v>620</v>
      </c>
      <c r="B298" s="925"/>
      <c r="C298" s="925"/>
      <c r="D298" s="925"/>
      <c r="E298" s="925"/>
      <c r="G298" s="62"/>
      <c r="H298" s="62"/>
      <c r="I298" s="62"/>
      <c r="J298" s="62"/>
      <c r="K298" s="62"/>
      <c r="L298" s="62"/>
      <c r="M298" s="62"/>
      <c r="N298" s="63"/>
    </row>
    <row r="299" spans="1:19" s="2" customFormat="1" ht="46.25" customHeight="1" x14ac:dyDescent="0.2">
      <c r="A299" s="894" t="s">
        <v>621</v>
      </c>
      <c r="B299" s="894"/>
      <c r="C299" s="894"/>
      <c r="D299" s="894"/>
      <c r="E299" s="894"/>
      <c r="F299" s="894"/>
      <c r="G299" s="894"/>
      <c r="H299" s="894"/>
      <c r="I299" s="894"/>
      <c r="R299" s="3"/>
    </row>
    <row r="300" spans="1:19" customFormat="1" ht="16" x14ac:dyDescent="0.2">
      <c r="A300" s="2" t="s">
        <v>622</v>
      </c>
      <c r="G300" s="62"/>
      <c r="H300" s="62"/>
      <c r="I300" s="62"/>
      <c r="J300" s="62"/>
      <c r="K300" s="62"/>
      <c r="L300" s="62"/>
      <c r="M300" s="62"/>
      <c r="N300" s="63"/>
    </row>
    <row r="301" spans="1:19" customFormat="1" ht="16" x14ac:dyDescent="0.2">
      <c r="A301" s="2" t="s">
        <v>623</v>
      </c>
      <c r="G301" s="62"/>
      <c r="H301" s="62"/>
      <c r="I301" s="62"/>
      <c r="J301" s="62"/>
      <c r="K301" s="62"/>
      <c r="L301" s="62"/>
      <c r="M301" s="62"/>
      <c r="N301" s="63"/>
      <c r="S301" s="62"/>
    </row>
    <row r="302" spans="1:19" x14ac:dyDescent="0.2">
      <c r="A302" s="48" t="s">
        <v>492</v>
      </c>
    </row>
    <row r="303" spans="1:19" ht="16" x14ac:dyDescent="0.2">
      <c r="A303" s="50" t="s">
        <v>624</v>
      </c>
    </row>
    <row r="304" spans="1:19" x14ac:dyDescent="0.2">
      <c r="A304" s="51" t="s">
        <v>625</v>
      </c>
    </row>
    <row r="305" spans="1:14" ht="16" x14ac:dyDescent="0.2">
      <c r="A305" s="50" t="s">
        <v>626</v>
      </c>
    </row>
    <row r="306" spans="1:14" x14ac:dyDescent="0.2">
      <c r="A306" s="541" t="s">
        <v>627</v>
      </c>
    </row>
    <row r="307" spans="1:14" x14ac:dyDescent="0.2">
      <c r="A307" s="541" t="s">
        <v>628</v>
      </c>
    </row>
    <row r="308" spans="1:14" ht="16" x14ac:dyDescent="0.2">
      <c r="A308" s="50" t="s">
        <v>629</v>
      </c>
    </row>
    <row r="309" spans="1:14" x14ac:dyDescent="0.2">
      <c r="A309" s="541" t="s">
        <v>630</v>
      </c>
    </row>
    <row r="310" spans="1:14" x14ac:dyDescent="0.2">
      <c r="A310" s="541" t="s">
        <v>631</v>
      </c>
    </row>
    <row r="311" spans="1:14" x14ac:dyDescent="0.2">
      <c r="A311" s="541" t="s">
        <v>632</v>
      </c>
    </row>
    <row r="315" spans="1:14" customFormat="1" ht="16" x14ac:dyDescent="0.2">
      <c r="A315" s="66"/>
      <c r="G315" s="62"/>
      <c r="H315" s="62"/>
      <c r="I315" s="62"/>
      <c r="J315" s="62"/>
      <c r="K315" s="62"/>
      <c r="L315" s="62"/>
      <c r="M315" s="62"/>
      <c r="N315" s="63"/>
    </row>
    <row r="316" spans="1:14" customFormat="1" ht="16" x14ac:dyDescent="0.2">
      <c r="A316" s="66"/>
      <c r="G316" s="62"/>
      <c r="H316" s="62"/>
      <c r="I316" s="62"/>
      <c r="J316" s="62"/>
      <c r="K316" s="62"/>
      <c r="L316" s="62"/>
      <c r="M316" s="62"/>
      <c r="N316" s="63"/>
    </row>
    <row r="317" spans="1:14" customFormat="1" ht="16" x14ac:dyDescent="0.2">
      <c r="A317" s="66"/>
      <c r="G317" s="62"/>
      <c r="H317" s="62"/>
      <c r="I317" s="62"/>
      <c r="J317" s="62"/>
      <c r="K317" s="62"/>
      <c r="L317" s="62"/>
      <c r="M317" s="62"/>
      <c r="N317" s="63"/>
    </row>
    <row r="318" spans="1:14" customFormat="1" ht="16" x14ac:dyDescent="0.2">
      <c r="A318" s="11"/>
      <c r="G318" s="62"/>
      <c r="H318" s="62"/>
      <c r="I318" s="62"/>
      <c r="J318" s="62"/>
      <c r="K318" s="62"/>
      <c r="L318" s="62"/>
      <c r="M318" s="62"/>
      <c r="N318" s="63"/>
    </row>
    <row r="319" spans="1:14" customFormat="1" ht="16" x14ac:dyDescent="0.2">
      <c r="A319" s="66"/>
      <c r="G319" s="62"/>
      <c r="H319" s="62"/>
      <c r="I319" s="62"/>
      <c r="J319" s="62"/>
      <c r="K319" s="62"/>
      <c r="L319" s="62"/>
      <c r="M319" s="62"/>
      <c r="N319" s="63"/>
    </row>
    <row r="320" spans="1:14" customFormat="1" ht="16" x14ac:dyDescent="0.2">
      <c r="A320" s="66"/>
      <c r="G320" s="62"/>
      <c r="H320" s="62"/>
      <c r="I320" s="62"/>
      <c r="J320" s="62"/>
      <c r="K320" s="62"/>
      <c r="L320" s="62"/>
      <c r="M320" s="62"/>
      <c r="N320" s="63"/>
    </row>
    <row r="321" spans="1:14" customFormat="1" ht="16" x14ac:dyDescent="0.2">
      <c r="A321" s="66"/>
      <c r="G321" s="62"/>
      <c r="H321" s="62"/>
      <c r="I321" s="62"/>
      <c r="J321" s="62"/>
      <c r="K321" s="62"/>
      <c r="L321" s="62"/>
      <c r="M321" s="62"/>
      <c r="N321" s="63"/>
    </row>
    <row r="322" spans="1:14" customFormat="1" ht="16" x14ac:dyDescent="0.2">
      <c r="A322" s="66"/>
      <c r="G322" s="62"/>
      <c r="H322" s="62"/>
      <c r="I322" s="62"/>
      <c r="J322" s="62"/>
      <c r="K322" s="62"/>
      <c r="L322" s="62"/>
      <c r="M322" s="62"/>
      <c r="N322" s="63"/>
    </row>
    <row r="323" spans="1:14" customFormat="1" ht="16" x14ac:dyDescent="0.2">
      <c r="A323" s="66"/>
      <c r="G323" s="62"/>
      <c r="H323" s="62"/>
      <c r="I323" s="62"/>
      <c r="J323" s="62"/>
      <c r="K323" s="62"/>
      <c r="L323" s="62"/>
      <c r="M323" s="62"/>
      <c r="N323" s="63"/>
    </row>
    <row r="324" spans="1:14" customFormat="1" ht="16" x14ac:dyDescent="0.2">
      <c r="A324" s="66"/>
      <c r="G324" s="62"/>
      <c r="H324" s="62"/>
      <c r="I324" s="62"/>
      <c r="J324" s="62"/>
      <c r="K324" s="62"/>
      <c r="L324" s="62"/>
      <c r="M324" s="62"/>
      <c r="N324" s="63"/>
    </row>
    <row r="325" spans="1:14" customFormat="1" ht="16" x14ac:dyDescent="0.2">
      <c r="G325" s="62"/>
      <c r="H325" s="62"/>
      <c r="I325" s="62"/>
      <c r="J325" s="62"/>
      <c r="K325" s="62"/>
      <c r="L325" s="62"/>
      <c r="M325" s="62"/>
      <c r="N325" s="63"/>
    </row>
  </sheetData>
  <sheetProtection algorithmName="SHA-512" hashValue="1yd1VDTW95DXUzZKh4bJu/ydBu6pvI/F4CvbfpHpCvZihmrzK/S8baRqRUPylMNTnhuVHATcAT2Vr4j3yG/Xsw==" saltValue="RJGqv7y31ow2rp6UXge5mg==" spinCount="100000" sheet="1" objects="1" scenarios="1"/>
  <autoFilter ref="A6:P291" xr:uid="{CFE9E02C-DA4D-42AE-9956-49C52917B663}">
    <filterColumn colId="6" showButton="0"/>
    <filterColumn colId="7" showButton="0"/>
    <filterColumn colId="8" showButton="0"/>
    <filterColumn colId="9" showButton="0"/>
    <filterColumn colId="10" showButton="0"/>
  </autoFilter>
  <mergeCells count="125">
    <mergeCell ref="C229:C244"/>
    <mergeCell ref="A197:A207"/>
    <mergeCell ref="B197:B207"/>
    <mergeCell ref="C197:C207"/>
    <mergeCell ref="A210:A211"/>
    <mergeCell ref="B210:B211"/>
    <mergeCell ref="C210:C211"/>
    <mergeCell ref="A149:A150"/>
    <mergeCell ref="B149:B150"/>
    <mergeCell ref="C149:C150"/>
    <mergeCell ref="C154:C158"/>
    <mergeCell ref="A159:A167"/>
    <mergeCell ref="B159:B167"/>
    <mergeCell ref="C159:C167"/>
    <mergeCell ref="A184:A185"/>
    <mergeCell ref="B184:B185"/>
    <mergeCell ref="C184:C185"/>
    <mergeCell ref="A182:A183"/>
    <mergeCell ref="B182:B183"/>
    <mergeCell ref="C182:C183"/>
    <mergeCell ref="A299:I299"/>
    <mergeCell ref="A289:A291"/>
    <mergeCell ref="B289:B291"/>
    <mergeCell ref="C289:C291"/>
    <mergeCell ref="A245:A261"/>
    <mergeCell ref="B245:B261"/>
    <mergeCell ref="C245:C261"/>
    <mergeCell ref="A262:A273"/>
    <mergeCell ref="B262:B273"/>
    <mergeCell ref="C262:C273"/>
    <mergeCell ref="A298:E298"/>
    <mergeCell ref="B145:B148"/>
    <mergeCell ref="C145:C148"/>
    <mergeCell ref="C142:C144"/>
    <mergeCell ref="B142:B144"/>
    <mergeCell ref="A142:A144"/>
    <mergeCell ref="A100:A103"/>
    <mergeCell ref="B100:B103"/>
    <mergeCell ref="C100:C103"/>
    <mergeCell ref="A105:A117"/>
    <mergeCell ref="B105:B117"/>
    <mergeCell ref="C105:C117"/>
    <mergeCell ref="A139:A141"/>
    <mergeCell ref="B139:B141"/>
    <mergeCell ref="C139:C141"/>
    <mergeCell ref="A2:P2"/>
    <mergeCell ref="A276:A279"/>
    <mergeCell ref="B276:B279"/>
    <mergeCell ref="C276:C279"/>
    <mergeCell ref="A214:A228"/>
    <mergeCell ref="B214:B228"/>
    <mergeCell ref="C214:C228"/>
    <mergeCell ref="A229:A244"/>
    <mergeCell ref="B229:B244"/>
    <mergeCell ref="A168:A178"/>
    <mergeCell ref="B168:B178"/>
    <mergeCell ref="C168:C178"/>
    <mergeCell ref="A186:A196"/>
    <mergeCell ref="B186:B196"/>
    <mergeCell ref="C186:C196"/>
    <mergeCell ref="A154:A158"/>
    <mergeCell ref="B154:B158"/>
    <mergeCell ref="B9:B15"/>
    <mergeCell ref="C9:C15"/>
    <mergeCell ref="A16:A17"/>
    <mergeCell ref="B16:B17"/>
    <mergeCell ref="C16:C17"/>
    <mergeCell ref="C81:C84"/>
    <mergeCell ref="A145:A148"/>
    <mergeCell ref="P6:P7"/>
    <mergeCell ref="G6:L6"/>
    <mergeCell ref="M6:M7"/>
    <mergeCell ref="N6:N7"/>
    <mergeCell ref="O6:O7"/>
    <mergeCell ref="A6:A7"/>
    <mergeCell ref="B6:B7"/>
    <mergeCell ref="C6:C7"/>
    <mergeCell ref="D6:D7"/>
    <mergeCell ref="E6:E7"/>
    <mergeCell ref="F6:F7"/>
    <mergeCell ref="A9:A15"/>
    <mergeCell ref="A133:A135"/>
    <mergeCell ref="B133:B135"/>
    <mergeCell ref="C133:C135"/>
    <mergeCell ref="C67:C73"/>
    <mergeCell ref="A74:A80"/>
    <mergeCell ref="B74:B80"/>
    <mergeCell ref="C74:C80"/>
    <mergeCell ref="A60:A66"/>
    <mergeCell ref="B60:B66"/>
    <mergeCell ref="C60:C66"/>
    <mergeCell ref="A87:A90"/>
    <mergeCell ref="B87:B90"/>
    <mergeCell ref="C87:C90"/>
    <mergeCell ref="A95:A98"/>
    <mergeCell ref="B95:B98"/>
    <mergeCell ref="C95:C98"/>
    <mergeCell ref="A81:A84"/>
    <mergeCell ref="A85:A86"/>
    <mergeCell ref="B85:B86"/>
    <mergeCell ref="C85:C86"/>
    <mergeCell ref="A47:A59"/>
    <mergeCell ref="B47:B59"/>
    <mergeCell ref="C47:C59"/>
    <mergeCell ref="B67:B73"/>
    <mergeCell ref="A119:A120"/>
    <mergeCell ref="B119:B120"/>
    <mergeCell ref="C119:C120"/>
    <mergeCell ref="A127:A131"/>
    <mergeCell ref="B127:B131"/>
    <mergeCell ref="C127:C131"/>
    <mergeCell ref="B18:B25"/>
    <mergeCell ref="C18:C25"/>
    <mergeCell ref="A26:A29"/>
    <mergeCell ref="B26:B29"/>
    <mergeCell ref="C26:C29"/>
    <mergeCell ref="A67:A73"/>
    <mergeCell ref="A30:A37"/>
    <mergeCell ref="B30:B37"/>
    <mergeCell ref="C30:C37"/>
    <mergeCell ref="A38:A46"/>
    <mergeCell ref="B38:B46"/>
    <mergeCell ref="C38:C46"/>
    <mergeCell ref="A18:A25"/>
    <mergeCell ref="B81:B84"/>
  </mergeCells>
  <conditionalFormatting sqref="G18:H25 G26:K274">
    <cfRule type="cellIs" dxfId="235" priority="114" operator="between">
      <formula>10</formula>
      <formula>100000</formula>
    </cfRule>
    <cfRule type="cellIs" dxfId="234" priority="115" operator="greaterThanOrEqual">
      <formula>100000</formula>
    </cfRule>
  </conditionalFormatting>
  <conditionalFormatting sqref="G18:K274">
    <cfRule type="cellIs" dxfId="233" priority="2" operator="between">
      <formula>1</formula>
      <formula>10</formula>
    </cfRule>
    <cfRule type="cellIs" dxfId="232" priority="5" operator="lessThanOrEqual">
      <formula>0.01</formula>
    </cfRule>
    <cfRule type="cellIs" dxfId="231" priority="1" operator="between">
      <formula>0.01</formula>
      <formula>1</formula>
    </cfRule>
  </conditionalFormatting>
  <conditionalFormatting sqref="G276:K291">
    <cfRule type="cellIs" dxfId="230" priority="102" operator="between">
      <formula>0.01</formula>
      <formula>1</formula>
    </cfRule>
    <cfRule type="cellIs" dxfId="229" priority="104" operator="between">
      <formula>10</formula>
      <formula>100000</formula>
    </cfRule>
    <cfRule type="cellIs" dxfId="228" priority="105" operator="greaterThanOrEqual">
      <formula>100000</formula>
    </cfRule>
    <cfRule type="cellIs" dxfId="227" priority="106" operator="lessThanOrEqual">
      <formula>0.01</formula>
    </cfRule>
    <cfRule type="cellIs" dxfId="226" priority="103" operator="between">
      <formula>1</formula>
      <formula>10</formula>
    </cfRule>
  </conditionalFormatting>
  <conditionalFormatting sqref="G293:K293">
    <cfRule type="cellIs" dxfId="225" priority="39" operator="between">
      <formula>1</formula>
      <formula>10</formula>
    </cfRule>
    <cfRule type="cellIs" dxfId="224" priority="42" operator="lessThanOrEqual">
      <formula>0.01</formula>
    </cfRule>
    <cfRule type="cellIs" dxfId="223" priority="41" operator="greaterThanOrEqual">
      <formula>100000</formula>
    </cfRule>
    <cfRule type="cellIs" dxfId="222" priority="40" operator="between">
      <formula>10</formula>
      <formula>100000</formula>
    </cfRule>
    <cfRule type="cellIs" dxfId="221" priority="38" operator="between">
      <formula>0.01</formula>
      <formula>1</formula>
    </cfRule>
  </conditionalFormatting>
  <conditionalFormatting sqref="I18:K25">
    <cfRule type="cellIs" dxfId="220" priority="109" operator="between">
      <formula>10</formula>
      <formula>10000</formula>
    </cfRule>
    <cfRule type="cellIs" dxfId="219" priority="110" operator="greaterThanOrEqual">
      <formula>10000</formula>
    </cfRule>
  </conditionalFormatting>
  <conditionalFormatting sqref="K275 M275">
    <cfRule type="cellIs" dxfId="218" priority="92" operator="between">
      <formula>0.01</formula>
      <formula>1</formula>
    </cfRule>
    <cfRule type="cellIs" dxfId="217" priority="93" operator="between">
      <formula>1</formula>
      <formula>10</formula>
    </cfRule>
    <cfRule type="cellIs" dxfId="216" priority="94" operator="between">
      <formula>10</formula>
      <formula>100000</formula>
    </cfRule>
    <cfRule type="cellIs" dxfId="215" priority="95" operator="greaterThanOrEqual">
      <formula>100000</formula>
    </cfRule>
    <cfRule type="cellIs" dxfId="214" priority="96" operator="lessThanOrEqual">
      <formula>0.01</formula>
    </cfRule>
  </conditionalFormatting>
  <conditionalFormatting sqref="M123:M125">
    <cfRule type="cellIs" dxfId="213" priority="19" operator="between">
      <formula>1</formula>
      <formula>10</formula>
    </cfRule>
    <cfRule type="cellIs" dxfId="212" priority="18" operator="between">
      <formula>0.01</formula>
      <formula>1</formula>
    </cfRule>
    <cfRule type="cellIs" dxfId="211" priority="22" operator="lessThanOrEqual">
      <formula>0.01</formula>
    </cfRule>
    <cfRule type="cellIs" dxfId="210" priority="21" operator="greaterThanOrEqual">
      <formula>100000</formula>
    </cfRule>
    <cfRule type="cellIs" dxfId="209" priority="20" operator="between">
      <formula>10</formula>
      <formula>100000</formula>
    </cfRule>
  </conditionalFormatting>
  <conditionalFormatting sqref="M132">
    <cfRule type="cellIs" dxfId="208" priority="60" operator="between">
      <formula>0.01</formula>
      <formula>1</formula>
    </cfRule>
    <cfRule type="cellIs" dxfId="207" priority="61" operator="between">
      <formula>1</formula>
      <formula>10</formula>
    </cfRule>
    <cfRule type="cellIs" dxfId="206" priority="62" operator="between">
      <formula>10</formula>
      <formula>100000</formula>
    </cfRule>
    <cfRule type="cellIs" dxfId="205" priority="63" operator="greaterThanOrEqual">
      <formula>100000</formula>
    </cfRule>
    <cfRule type="cellIs" dxfId="204" priority="64" operator="lessThanOrEqual">
      <formula>0.01</formula>
    </cfRule>
  </conditionalFormatting>
  <conditionalFormatting sqref="M136:M137">
    <cfRule type="cellIs" dxfId="203" priority="32" operator="lessThanOrEqual">
      <formula>0.01</formula>
    </cfRule>
    <cfRule type="cellIs" dxfId="202" priority="31" operator="greaterThanOrEqual">
      <formula>100000</formula>
    </cfRule>
    <cfRule type="cellIs" dxfId="201" priority="30" operator="between">
      <formula>10</formula>
      <formula>100000</formula>
    </cfRule>
    <cfRule type="cellIs" dxfId="200" priority="29" operator="between">
      <formula>1</formula>
      <formula>10</formula>
    </cfRule>
    <cfRule type="cellIs" dxfId="199" priority="28" operator="between">
      <formula>0.01</formula>
      <formula>1</formula>
    </cfRule>
  </conditionalFormatting>
  <conditionalFormatting sqref="M293">
    <cfRule type="cellIs" dxfId="198" priority="52" operator="lessThanOrEqual">
      <formula>0.01</formula>
    </cfRule>
    <cfRule type="cellIs" dxfId="197" priority="51" operator="greaterThanOrEqual">
      <formula>100000</formula>
    </cfRule>
    <cfRule type="cellIs" dxfId="196" priority="50" operator="between">
      <formula>10</formula>
      <formula>100000</formula>
    </cfRule>
    <cfRule type="cellIs" dxfId="195" priority="49" operator="between">
      <formula>1</formula>
      <formula>10</formula>
    </cfRule>
    <cfRule type="cellIs" dxfId="194" priority="48" operator="between">
      <formula>0.01</formula>
      <formula>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91" id="{D2D38776-EC29-4962-9B01-6A7B6C90A827}">
            <xm:f>(VLOOKUP(O9,References!$B$8:$C$252,2,FALSE)="Secondary")</xm:f>
            <x14:dxf>
              <font>
                <strike val="0"/>
              </font>
              <fill>
                <patternFill>
                  <bgColor rgb="FFFFC000"/>
                </patternFill>
              </fill>
            </x14:dxf>
          </x14:cfRule>
          <xm:sqref>P9:P90 P123:P137 P152:P180 P209:P212 P214:P273 P285:P287 P289:P291 P293</xm:sqref>
        </x14:conditionalFormatting>
        <x14:conditionalFormatting xmlns:xm="http://schemas.microsoft.com/office/excel/2006/main">
          <x14:cfRule type="expression" priority="85" id="{94FD31F6-F234-410D-AE51-E77B4D2A7199}">
            <xm:f>(VLOOKUP(O92,References!$B$8:$C$252,2,FALSE)="Secondary")</xm:f>
            <x14:dxf>
              <font>
                <strike val="0"/>
              </font>
              <fill>
                <patternFill>
                  <bgColor rgb="FFFFC000"/>
                </patternFill>
              </fill>
            </x14:dxf>
          </x14:cfRule>
          <xm:sqref>P92:P121</xm:sqref>
        </x14:conditionalFormatting>
        <x14:conditionalFormatting xmlns:xm="http://schemas.microsoft.com/office/excel/2006/main">
          <x14:cfRule type="expression" priority="129" id="{4076E3A8-3CE7-4195-A14A-D333DEA58B6B}">
            <xm:f>(VLOOKUP(O139,References!$B$8:$C$252,2,FALSE)="Secondary")</xm:f>
            <x14:dxf>
              <font>
                <strike val="0"/>
              </font>
              <fill>
                <patternFill>
                  <bgColor rgb="FFFFC000"/>
                </patternFill>
              </fill>
            </x14:dxf>
          </x14:cfRule>
          <xm:sqref>P139:P150</xm:sqref>
        </x14:conditionalFormatting>
        <x14:conditionalFormatting xmlns:xm="http://schemas.microsoft.com/office/excel/2006/main">
          <x14:cfRule type="expression" priority="6" id="{D64F6F63-53E7-42CB-93AD-DA9A4F0965FC}">
            <xm:f>(VLOOKUP(O182,References!$B$8:$C$252,2,FALSE)="Secondary")</xm:f>
            <x14:dxf>
              <font>
                <strike val="0"/>
              </font>
              <fill>
                <patternFill>
                  <bgColor rgb="FFFFC000"/>
                </patternFill>
              </fill>
            </x14:dxf>
          </x14:cfRule>
          <xm:sqref>P182:P207</xm:sqref>
        </x14:conditionalFormatting>
        <x14:conditionalFormatting xmlns:xm="http://schemas.microsoft.com/office/excel/2006/main">
          <x14:cfRule type="expression" priority="130" id="{A5D5D0FE-4ACB-4141-B404-B5107A581819}">
            <xm:f>(VLOOKUP(O275,References!$B$8:$C$252,2,FALSE)="Secondary")</xm:f>
            <x14:dxf>
              <font>
                <strike val="0"/>
              </font>
              <fill>
                <patternFill>
                  <bgColor rgb="FFFFC000"/>
                </patternFill>
              </fill>
            </x14:dxf>
          </x14:cfRule>
          <xm:sqref>P275:P283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48C27-CAEB-4004-AD9C-478B4953200D}">
  <sheetPr codeName="Sheet5">
    <tabColor rgb="FF92D050"/>
  </sheetPr>
  <dimension ref="A1:AL144"/>
  <sheetViews>
    <sheetView zoomScale="110" zoomScaleNormal="110" workbookViewId="0">
      <pane ySplit="7" topLeftCell="A8" activePane="bottomLeft" state="frozen"/>
      <selection pane="bottomLeft" activeCell="A3" sqref="A3"/>
    </sheetView>
  </sheetViews>
  <sheetFormatPr baseColWidth="10" defaultColWidth="13.1640625" defaultRowHeight="16" x14ac:dyDescent="0.2"/>
  <cols>
    <col min="1" max="1" width="49.6640625" customWidth="1"/>
    <col min="2" max="2" width="13.1640625" style="62"/>
    <col min="3" max="3" width="13.6640625" customWidth="1"/>
    <col min="5" max="5" width="13.1640625" style="62" customWidth="1"/>
    <col min="6" max="8" width="9.6640625" style="62" customWidth="1"/>
    <col min="9" max="9" width="11.1640625" style="62" customWidth="1"/>
    <col min="10" max="10" width="5.6640625" style="62" bestFit="1" customWidth="1"/>
    <col min="11" max="14" width="13.1640625" style="62"/>
    <col min="15" max="15" width="6.6640625" style="62" bestFit="1" customWidth="1"/>
    <col min="16" max="16" width="29.1640625" style="62" hidden="1" customWidth="1"/>
    <col min="17" max="17" width="13.1640625" style="62"/>
  </cols>
  <sheetData>
    <row r="1" spans="1:26" ht="21" x14ac:dyDescent="0.25">
      <c r="A1" s="4" t="s">
        <v>6</v>
      </c>
      <c r="B1" s="5"/>
      <c r="C1" s="6"/>
      <c r="D1" s="6"/>
      <c r="E1" s="5"/>
      <c r="F1" s="5"/>
      <c r="G1" s="5"/>
      <c r="H1" s="5"/>
      <c r="I1" s="5"/>
      <c r="J1" s="5"/>
      <c r="K1" s="5"/>
      <c r="L1" s="5"/>
      <c r="M1" s="5"/>
      <c r="N1" s="5"/>
      <c r="O1" s="5"/>
      <c r="P1" s="5"/>
      <c r="Q1" s="5"/>
      <c r="R1" s="5"/>
      <c r="S1" s="5"/>
      <c r="T1" s="5"/>
      <c r="U1" s="8"/>
      <c r="Z1" s="5"/>
    </row>
    <row r="2" spans="1:26" ht="30.75" customHeight="1" x14ac:dyDescent="0.25">
      <c r="A2" s="855" t="s">
        <v>633</v>
      </c>
      <c r="B2" s="855"/>
      <c r="C2" s="855"/>
      <c r="D2" s="855"/>
      <c r="E2" s="855"/>
      <c r="F2" s="855"/>
      <c r="G2" s="855"/>
      <c r="H2" s="855"/>
      <c r="I2" s="855"/>
      <c r="J2" s="855"/>
      <c r="K2" s="855"/>
      <c r="L2" s="855"/>
      <c r="M2" s="855"/>
      <c r="N2" s="855"/>
      <c r="O2" s="855"/>
      <c r="P2" s="855"/>
      <c r="Q2" s="855"/>
      <c r="R2" s="528"/>
      <c r="S2" s="528"/>
      <c r="T2" s="528"/>
      <c r="U2" s="528"/>
      <c r="V2" s="528"/>
      <c r="W2" s="528"/>
      <c r="X2" s="528"/>
      <c r="Z2" s="61"/>
    </row>
    <row r="3" spans="1:26" x14ac:dyDescent="0.2">
      <c r="A3" s="13"/>
      <c r="B3" s="3"/>
      <c r="C3" s="2"/>
      <c r="D3" s="2"/>
      <c r="E3" s="3"/>
      <c r="F3" s="3"/>
      <c r="G3" s="3"/>
      <c r="H3" s="3"/>
      <c r="I3" s="3"/>
      <c r="J3" s="3"/>
      <c r="K3" s="3"/>
      <c r="L3" s="3"/>
      <c r="M3" s="3"/>
      <c r="N3" s="3"/>
      <c r="O3" s="3"/>
      <c r="P3" s="3"/>
      <c r="Q3" s="3"/>
      <c r="R3" s="3"/>
      <c r="S3" s="3"/>
      <c r="T3" s="3"/>
      <c r="U3" s="10"/>
      <c r="Z3" s="62"/>
    </row>
    <row r="4" spans="1:26" x14ac:dyDescent="0.2">
      <c r="A4" s="13"/>
      <c r="B4" s="3"/>
      <c r="C4" s="2"/>
      <c r="D4" s="2"/>
      <c r="E4" s="3"/>
      <c r="F4" s="3"/>
      <c r="G4" s="3"/>
      <c r="H4" s="3"/>
      <c r="I4" s="3"/>
      <c r="J4" s="3"/>
      <c r="K4" s="3"/>
      <c r="L4" s="3"/>
      <c r="M4" s="3"/>
      <c r="N4" s="3"/>
      <c r="O4" s="3"/>
      <c r="P4" s="3"/>
      <c r="Q4" s="3"/>
      <c r="R4" s="3"/>
      <c r="S4" s="3"/>
      <c r="T4" s="3"/>
      <c r="U4" s="10"/>
      <c r="Z4" s="62"/>
    </row>
    <row r="5" spans="1:26" ht="20" thickBot="1" x14ac:dyDescent="0.3">
      <c r="A5" s="113" t="s">
        <v>634</v>
      </c>
    </row>
    <row r="6" spans="1:26" s="70" customFormat="1" ht="21" customHeight="1" x14ac:dyDescent="0.25">
      <c r="A6" s="870" t="s">
        <v>9</v>
      </c>
      <c r="B6" s="872" t="s">
        <v>10</v>
      </c>
      <c r="C6" s="872" t="s">
        <v>497</v>
      </c>
      <c r="D6" s="872" t="s">
        <v>13</v>
      </c>
      <c r="E6" s="872" t="s">
        <v>498</v>
      </c>
      <c r="F6" s="872" t="s">
        <v>499</v>
      </c>
      <c r="G6" s="872" t="s">
        <v>500</v>
      </c>
      <c r="H6" s="872" t="s">
        <v>17</v>
      </c>
      <c r="I6" s="872" t="s">
        <v>502</v>
      </c>
      <c r="J6" s="872" t="s">
        <v>492</v>
      </c>
      <c r="K6" s="876" t="s">
        <v>503</v>
      </c>
      <c r="L6" s="876"/>
      <c r="M6" s="876"/>
      <c r="N6" s="876"/>
      <c r="O6" s="872" t="s">
        <v>504</v>
      </c>
      <c r="P6" s="915" t="s">
        <v>635</v>
      </c>
      <c r="Q6" s="912" t="s">
        <v>636</v>
      </c>
    </row>
    <row r="7" spans="1:26" s="70" customFormat="1" ht="38.25" customHeight="1" thickBot="1" x14ac:dyDescent="0.3">
      <c r="A7" s="929"/>
      <c r="B7" s="930"/>
      <c r="C7" s="930"/>
      <c r="D7" s="930"/>
      <c r="E7" s="930"/>
      <c r="F7" s="930"/>
      <c r="G7" s="930"/>
      <c r="H7" s="930"/>
      <c r="I7" s="930"/>
      <c r="J7" s="930"/>
      <c r="K7" s="64" t="s">
        <v>507</v>
      </c>
      <c r="L7" s="64" t="s">
        <v>637</v>
      </c>
      <c r="M7" s="64" t="s">
        <v>509</v>
      </c>
      <c r="N7" s="64" t="s">
        <v>638</v>
      </c>
      <c r="O7" s="930"/>
      <c r="P7" s="916"/>
      <c r="Q7" s="913"/>
    </row>
    <row r="8" spans="1:26" ht="16.5" customHeight="1" thickBot="1" x14ac:dyDescent="0.25">
      <c r="A8" s="78" t="s">
        <v>22</v>
      </c>
      <c r="B8" s="175" t="s">
        <v>23</v>
      </c>
      <c r="C8" s="79"/>
      <c r="D8" s="79"/>
      <c r="E8" s="79"/>
      <c r="F8" s="79"/>
      <c r="G8" s="79"/>
      <c r="H8" s="79"/>
      <c r="I8" s="79"/>
      <c r="J8" s="79"/>
      <c r="K8" s="79"/>
      <c r="L8" s="79"/>
      <c r="M8" s="79"/>
      <c r="N8" s="79"/>
      <c r="O8" s="79"/>
      <c r="P8" s="79"/>
      <c r="Q8" s="80"/>
      <c r="S8" s="271"/>
    </row>
    <row r="9" spans="1:26" x14ac:dyDescent="0.2">
      <c r="A9" s="591" t="s">
        <v>24</v>
      </c>
      <c r="B9" s="420" t="s">
        <v>25</v>
      </c>
      <c r="C9" s="420">
        <v>114.02</v>
      </c>
      <c r="D9" s="420" t="s">
        <v>26</v>
      </c>
      <c r="E9" s="420" t="s">
        <v>25</v>
      </c>
      <c r="F9" s="420" t="s">
        <v>26</v>
      </c>
      <c r="G9" s="420">
        <v>114.02</v>
      </c>
      <c r="H9" s="420"/>
      <c r="I9" s="420"/>
      <c r="J9" s="420"/>
      <c r="K9" s="420"/>
      <c r="L9" s="420"/>
      <c r="M9" s="420"/>
      <c r="N9" s="420"/>
      <c r="O9" s="420"/>
      <c r="P9" s="420"/>
      <c r="Q9" s="421"/>
      <c r="R9" s="66"/>
      <c r="S9" s="499"/>
    </row>
    <row r="10" spans="1:26" ht="32" x14ac:dyDescent="0.2">
      <c r="A10" s="592" t="s">
        <v>516</v>
      </c>
      <c r="B10" s="427" t="s">
        <v>38</v>
      </c>
      <c r="C10" s="427">
        <v>163.02000000000001</v>
      </c>
      <c r="D10" s="427" t="s">
        <v>39</v>
      </c>
      <c r="E10" s="427" t="s">
        <v>38</v>
      </c>
      <c r="F10" s="427" t="s">
        <v>517</v>
      </c>
      <c r="G10" s="427">
        <v>163.02000000000001</v>
      </c>
      <c r="H10" s="427"/>
      <c r="I10" s="427"/>
      <c r="J10" s="427"/>
      <c r="K10" s="427"/>
      <c r="L10" s="427"/>
      <c r="M10" s="427"/>
      <c r="N10" s="427"/>
      <c r="O10" s="427"/>
      <c r="P10" s="427"/>
      <c r="Q10" s="435"/>
      <c r="R10" s="66"/>
    </row>
    <row r="11" spans="1:26" x14ac:dyDescent="0.2">
      <c r="A11" s="868" t="s">
        <v>41</v>
      </c>
      <c r="B11" s="869" t="s">
        <v>42</v>
      </c>
      <c r="C11" s="841">
        <v>214</v>
      </c>
      <c r="D11" s="832" t="s">
        <v>43</v>
      </c>
      <c r="E11" s="149" t="s">
        <v>42</v>
      </c>
      <c r="F11" s="58" t="s">
        <v>43</v>
      </c>
      <c r="G11" s="178">
        <v>214</v>
      </c>
      <c r="H11" s="352">
        <v>-0.12</v>
      </c>
      <c r="I11" s="58" t="s">
        <v>521</v>
      </c>
      <c r="J11" s="58" t="s">
        <v>27</v>
      </c>
      <c r="K11" s="433">
        <f t="shared" ref="K11:K18" si="0">IF(I11="mg/L",H11,IF(I11="mol/L",H11*G11*1000,IF(I11="log-mol/L",(10^(H11))*G11*1000,NA())))</f>
        <v>162335.6010562453</v>
      </c>
      <c r="L11" s="178">
        <f>IF(I11="log-mg/L",H11,LOG(K11))</f>
        <v>5.2104137733491909</v>
      </c>
      <c r="M11" s="433">
        <f>IF(I11="mol/L",H11,IF(I11="log-mol/L",10^H11,K11/(1000*G11)))</f>
        <v>0.75857757502918366</v>
      </c>
      <c r="N11" s="178">
        <f>IF(I11="log-mol/L",H11,LOG(M11))</f>
        <v>-0.12</v>
      </c>
      <c r="O11" s="58">
        <v>25</v>
      </c>
      <c r="P11" s="30" t="s">
        <v>520</v>
      </c>
      <c r="Q11" s="100">
        <f>VLOOKUP(P11,References!$B$7:$F$252,5,FALSE)</f>
        <v>14</v>
      </c>
      <c r="S11" s="291"/>
    </row>
    <row r="12" spans="1:26" x14ac:dyDescent="0.2">
      <c r="A12" s="868"/>
      <c r="B12" s="869"/>
      <c r="C12" s="841"/>
      <c r="D12" s="834"/>
      <c r="E12" s="182" t="s">
        <v>42</v>
      </c>
      <c r="F12" s="59" t="s">
        <v>43</v>
      </c>
      <c r="G12" s="183">
        <v>214</v>
      </c>
      <c r="H12" s="184">
        <v>-0.2</v>
      </c>
      <c r="I12" s="59" t="s">
        <v>521</v>
      </c>
      <c r="J12" s="59" t="s">
        <v>519</v>
      </c>
      <c r="K12" s="469">
        <f t="shared" si="0"/>
        <v>135024.87171876134</v>
      </c>
      <c r="L12" s="183">
        <f t="shared" ref="L12:L53" si="1">IF(I12="log-mg/L",H12,LOG(K12))</f>
        <v>5.1304137733491908</v>
      </c>
      <c r="M12" s="469">
        <f t="shared" ref="M12:M18" si="2">IF(I12="mol/L",H12,IF(I12="log-mol/L",10^H12,K12/(1000*G12)))</f>
        <v>0.63095734448019325</v>
      </c>
      <c r="N12" s="183">
        <f t="shared" ref="N12:N53" si="3">IF(I12="log-mol/L",H12,LOG(M12))</f>
        <v>-0.2</v>
      </c>
      <c r="O12" s="59">
        <v>25</v>
      </c>
      <c r="P12" s="37" t="s">
        <v>520</v>
      </c>
      <c r="Q12" s="122">
        <f>VLOOKUP(P12,References!$B$7:$F$252,5,FALSE)</f>
        <v>14</v>
      </c>
    </row>
    <row r="13" spans="1:26" x14ac:dyDescent="0.2">
      <c r="A13" s="867" t="s">
        <v>51</v>
      </c>
      <c r="B13" s="850" t="s">
        <v>52</v>
      </c>
      <c r="C13" s="843">
        <v>264.10000000000002</v>
      </c>
      <c r="D13" s="832" t="s">
        <v>53</v>
      </c>
      <c r="E13" s="149" t="s">
        <v>52</v>
      </c>
      <c r="F13" s="58" t="s">
        <v>53</v>
      </c>
      <c r="G13" s="178">
        <v>264.10000000000002</v>
      </c>
      <c r="H13" s="352">
        <v>-0.7</v>
      </c>
      <c r="I13" s="58" t="s">
        <v>521</v>
      </c>
      <c r="J13" s="58" t="s">
        <v>27</v>
      </c>
      <c r="K13" s="433">
        <f t="shared" si="0"/>
        <v>52694.877738328112</v>
      </c>
      <c r="L13" s="178">
        <f t="shared" si="1"/>
        <v>4.7217684012069236</v>
      </c>
      <c r="M13" s="433">
        <f t="shared" si="2"/>
        <v>0.19952623149688795</v>
      </c>
      <c r="N13" s="178">
        <f t="shared" si="3"/>
        <v>-0.7</v>
      </c>
      <c r="O13" s="58">
        <v>25</v>
      </c>
      <c r="P13" s="30" t="s">
        <v>520</v>
      </c>
      <c r="Q13" s="100">
        <f>VLOOKUP(P13,References!$B$7:$F$252,5,FALSE)</f>
        <v>14</v>
      </c>
    </row>
    <row r="14" spans="1:26" x14ac:dyDescent="0.2">
      <c r="A14" s="879"/>
      <c r="B14" s="851"/>
      <c r="C14" s="842"/>
      <c r="D14" s="834"/>
      <c r="E14" s="182" t="s">
        <v>52</v>
      </c>
      <c r="F14" s="59" t="s">
        <v>53</v>
      </c>
      <c r="G14" s="183">
        <v>264.10000000000002</v>
      </c>
      <c r="H14" s="184">
        <v>-0.64</v>
      </c>
      <c r="I14" s="59" t="s">
        <v>521</v>
      </c>
      <c r="J14" s="59" t="s">
        <v>519</v>
      </c>
      <c r="K14" s="469">
        <f t="shared" si="0"/>
        <v>60501.814709596889</v>
      </c>
      <c r="L14" s="183">
        <f t="shared" si="1"/>
        <v>4.7817684012069241</v>
      </c>
      <c r="M14" s="469">
        <f t="shared" si="2"/>
        <v>0.22908676527677729</v>
      </c>
      <c r="N14" s="183">
        <f t="shared" si="3"/>
        <v>-0.64</v>
      </c>
      <c r="O14" s="59">
        <v>25</v>
      </c>
      <c r="P14" s="37" t="s">
        <v>520</v>
      </c>
      <c r="Q14" s="122">
        <f>VLOOKUP(P14,References!$B$7:$F$252,5,FALSE)</f>
        <v>14</v>
      </c>
    </row>
    <row r="15" spans="1:26" x14ac:dyDescent="0.2">
      <c r="A15" s="868" t="s">
        <v>57</v>
      </c>
      <c r="B15" s="869" t="s">
        <v>58</v>
      </c>
      <c r="C15" s="832">
        <v>314.10000000000002</v>
      </c>
      <c r="D15" s="832" t="s">
        <v>59</v>
      </c>
      <c r="E15" s="149" t="s">
        <v>58</v>
      </c>
      <c r="F15" s="58" t="s">
        <v>59</v>
      </c>
      <c r="G15" s="58">
        <v>314.10000000000002</v>
      </c>
      <c r="H15" s="352">
        <v>-1.05</v>
      </c>
      <c r="I15" s="58" t="s">
        <v>521</v>
      </c>
      <c r="J15" s="58" t="s">
        <v>27</v>
      </c>
      <c r="K15" s="433">
        <f t="shared" si="0"/>
        <v>27994.191966780945</v>
      </c>
      <c r="L15" s="178">
        <f t="shared" si="1"/>
        <v>4.4470679363985051</v>
      </c>
      <c r="M15" s="433">
        <f t="shared" si="2"/>
        <v>8.9125093813374537E-2</v>
      </c>
      <c r="N15" s="178">
        <f t="shared" si="3"/>
        <v>-1.05</v>
      </c>
      <c r="O15" s="58">
        <v>25</v>
      </c>
      <c r="P15" s="30" t="s">
        <v>520</v>
      </c>
      <c r="Q15" s="100">
        <f>VLOOKUP(P15,References!$B$7:$F$252,5,FALSE)</f>
        <v>14</v>
      </c>
    </row>
    <row r="16" spans="1:26" x14ac:dyDescent="0.2">
      <c r="A16" s="868"/>
      <c r="B16" s="869"/>
      <c r="C16" s="832"/>
      <c r="D16" s="832"/>
      <c r="E16" s="149" t="s">
        <v>58</v>
      </c>
      <c r="F16" s="58" t="s">
        <v>59</v>
      </c>
      <c r="G16" s="58">
        <v>314.10000000000002</v>
      </c>
      <c r="H16" s="352">
        <v>-1.1000000000000001</v>
      </c>
      <c r="I16" s="58" t="s">
        <v>521</v>
      </c>
      <c r="J16" s="58" t="s">
        <v>27</v>
      </c>
      <c r="K16" s="433">
        <f t="shared" si="0"/>
        <v>24949.849852689666</v>
      </c>
      <c r="L16" s="178">
        <f t="shared" si="1"/>
        <v>4.3970679363985044</v>
      </c>
      <c r="M16" s="433">
        <f t="shared" si="2"/>
        <v>7.9432823472428096E-2</v>
      </c>
      <c r="N16" s="178">
        <f t="shared" si="3"/>
        <v>-1.1000000000000001</v>
      </c>
      <c r="O16" s="58">
        <v>25</v>
      </c>
      <c r="P16" s="30" t="s">
        <v>520</v>
      </c>
      <c r="Q16" s="100">
        <f>VLOOKUP(P16,References!$B$7:$F$252,5,FALSE)</f>
        <v>14</v>
      </c>
    </row>
    <row r="17" spans="1:17" x14ac:dyDescent="0.2">
      <c r="A17" s="868"/>
      <c r="B17" s="869"/>
      <c r="C17" s="832"/>
      <c r="D17" s="832"/>
      <c r="E17" s="149" t="s">
        <v>58</v>
      </c>
      <c r="F17" s="58" t="s">
        <v>59</v>
      </c>
      <c r="G17" s="58">
        <v>314.10000000000002</v>
      </c>
      <c r="H17" s="352">
        <v>-1.1499999999999999</v>
      </c>
      <c r="I17" s="58" t="s">
        <v>521</v>
      </c>
      <c r="J17" s="58" t="s">
        <v>519</v>
      </c>
      <c r="K17" s="433">
        <f t="shared" si="0"/>
        <v>22236.577087505771</v>
      </c>
      <c r="L17" s="178">
        <f t="shared" si="1"/>
        <v>4.3470679363985045</v>
      </c>
      <c r="M17" s="433">
        <f t="shared" si="2"/>
        <v>7.0794578438413788E-2</v>
      </c>
      <c r="N17" s="178">
        <f t="shared" si="3"/>
        <v>-1.1499999999999999</v>
      </c>
      <c r="O17" s="58">
        <v>25</v>
      </c>
      <c r="P17" s="30" t="s">
        <v>520</v>
      </c>
      <c r="Q17" s="100">
        <f>VLOOKUP(P17,References!$B$7:$F$252,5,FALSE)</f>
        <v>14</v>
      </c>
    </row>
    <row r="18" spans="1:17" x14ac:dyDescent="0.2">
      <c r="A18" s="868"/>
      <c r="B18" s="869"/>
      <c r="C18" s="832"/>
      <c r="D18" s="834"/>
      <c r="E18" s="182" t="s">
        <v>58</v>
      </c>
      <c r="F18" s="59" t="s">
        <v>59</v>
      </c>
      <c r="G18" s="59">
        <v>314.10000000000002</v>
      </c>
      <c r="H18" s="184">
        <v>-0.86</v>
      </c>
      <c r="I18" s="59" t="s">
        <v>521</v>
      </c>
      <c r="J18" s="59" t="s">
        <v>519</v>
      </c>
      <c r="K18" s="469">
        <f t="shared" si="0"/>
        <v>43357.8697511766</v>
      </c>
      <c r="L18" s="183">
        <f t="shared" si="1"/>
        <v>4.6370679363985046</v>
      </c>
      <c r="M18" s="469">
        <f t="shared" si="2"/>
        <v>0.13803842646028844</v>
      </c>
      <c r="N18" s="183">
        <f t="shared" si="3"/>
        <v>-0.86</v>
      </c>
      <c r="O18" s="59">
        <v>25</v>
      </c>
      <c r="P18" s="37" t="s">
        <v>520</v>
      </c>
      <c r="Q18" s="122">
        <f>VLOOKUP(P18,References!$B$7:$F$252,5,FALSE)</f>
        <v>14</v>
      </c>
    </row>
    <row r="19" spans="1:17" x14ac:dyDescent="0.2">
      <c r="A19" s="867" t="s">
        <v>66</v>
      </c>
      <c r="B19" s="850" t="s">
        <v>67</v>
      </c>
      <c r="C19" s="833">
        <v>364.1</v>
      </c>
      <c r="D19" s="832" t="s">
        <v>68</v>
      </c>
      <c r="E19" s="149" t="s">
        <v>67</v>
      </c>
      <c r="F19" s="58" t="s">
        <v>68</v>
      </c>
      <c r="G19" s="58">
        <v>364.1</v>
      </c>
      <c r="H19" s="352">
        <v>-1.9</v>
      </c>
      <c r="I19" s="58" t="s">
        <v>521</v>
      </c>
      <c r="J19" s="58" t="s">
        <v>27</v>
      </c>
      <c r="K19" s="433">
        <f>IF(I19="mg/L",H19,IF(I19="mol/L",H19*G21*1000,IF(I19="log-mol/L",(10^(H19))*G21*1000,NA())))</f>
        <v>4583.7474243425604</v>
      </c>
      <c r="L19" s="178">
        <f>IF(I19="log-mg/L",H19,LOG(K19))</f>
        <v>3.6612206789339434</v>
      </c>
      <c r="M19" s="433">
        <f>IF(I19="mol/L",H19,IF(I19="log-mol/L",10^H19,K19/(1000*G21)))</f>
        <v>1.2589254117941664E-2</v>
      </c>
      <c r="N19" s="178">
        <f t="shared" ref="N19" si="4">IF(I19="log-mol/L",H19,LOG(M19))</f>
        <v>-1.9</v>
      </c>
      <c r="O19" s="58" t="s">
        <v>33</v>
      </c>
      <c r="P19" s="30" t="s">
        <v>639</v>
      </c>
      <c r="Q19" s="100">
        <f>VLOOKUP(P19,References!$B$7:$F$252,5,FALSE)</f>
        <v>84</v>
      </c>
    </row>
    <row r="20" spans="1:17" x14ac:dyDescent="0.2">
      <c r="A20" s="868"/>
      <c r="B20" s="869"/>
      <c r="C20" s="832"/>
      <c r="D20" s="832"/>
      <c r="E20" s="149" t="s">
        <v>67</v>
      </c>
      <c r="F20" s="58" t="s">
        <v>68</v>
      </c>
      <c r="G20" s="58">
        <v>364.1</v>
      </c>
      <c r="H20" s="352">
        <v>-1.54</v>
      </c>
      <c r="I20" s="58" t="s">
        <v>521</v>
      </c>
      <c r="J20" s="58" t="s">
        <v>27</v>
      </c>
      <c r="K20" s="433">
        <f>IF(I20="mg/L",H20,IF(I20="mol/L",H20*G19*1000,IF(I20="log-mol/L",(10^(H20))*G19*1000,NA())))</f>
        <v>10500.75870288397</v>
      </c>
      <c r="L20" s="178">
        <f t="shared" si="1"/>
        <v>4.0212206789339433</v>
      </c>
      <c r="M20" s="433">
        <f>IF(I20="mol/L",H20,IF(I20="log-mol/L",10^H20,K20/(1000*G19)))</f>
        <v>2.8840315031266047E-2</v>
      </c>
      <c r="N20" s="178">
        <f t="shared" si="3"/>
        <v>-1.54</v>
      </c>
      <c r="O20" s="58">
        <v>25</v>
      </c>
      <c r="P20" s="30" t="s">
        <v>520</v>
      </c>
      <c r="Q20" s="100">
        <f>VLOOKUP(P20,References!$B$7:$F$252,5,FALSE)</f>
        <v>14</v>
      </c>
    </row>
    <row r="21" spans="1:17" x14ac:dyDescent="0.2">
      <c r="A21" s="879"/>
      <c r="B21" s="851"/>
      <c r="C21" s="834"/>
      <c r="D21" s="834"/>
      <c r="E21" s="182" t="s">
        <v>67</v>
      </c>
      <c r="F21" s="59" t="s">
        <v>68</v>
      </c>
      <c r="G21" s="59">
        <v>364.1</v>
      </c>
      <c r="H21" s="184">
        <v>-1.63</v>
      </c>
      <c r="I21" s="59" t="s">
        <v>521</v>
      </c>
      <c r="J21" s="59" t="s">
        <v>519</v>
      </c>
      <c r="K21" s="469">
        <f>IF(I21="mg/L",H21,IF(I21="mol/L",H21*G20*1000,IF(I21="log-mol/L",(10^(H21))*G20*1000,NA())))</f>
        <v>8535.3371165798362</v>
      </c>
      <c r="L21" s="183">
        <f t="shared" si="1"/>
        <v>3.9312206789339439</v>
      </c>
      <c r="M21" s="469">
        <f>IF(I21="mol/L",H21,IF(I21="log-mol/L",10^H21,K21/(1000*G20)))</f>
        <v>2.3442288153199219E-2</v>
      </c>
      <c r="N21" s="183">
        <f t="shared" si="3"/>
        <v>-1.63</v>
      </c>
      <c r="O21" s="59">
        <v>25</v>
      </c>
      <c r="P21" s="37" t="s">
        <v>520</v>
      </c>
      <c r="Q21" s="122">
        <f>VLOOKUP(P21,References!$B$7:$F$252,5,FALSE)</f>
        <v>14</v>
      </c>
    </row>
    <row r="22" spans="1:17" x14ac:dyDescent="0.2">
      <c r="A22" s="867" t="s">
        <v>77</v>
      </c>
      <c r="B22" s="850" t="s">
        <v>78</v>
      </c>
      <c r="C22" s="833">
        <v>414.1</v>
      </c>
      <c r="D22" s="832" t="s">
        <v>79</v>
      </c>
      <c r="E22" s="149" t="s">
        <v>78</v>
      </c>
      <c r="F22" s="58" t="s">
        <v>79</v>
      </c>
      <c r="G22" s="58">
        <v>414.1</v>
      </c>
      <c r="H22" s="353">
        <v>8.9999999999999993E-3</v>
      </c>
      <c r="I22" s="58" t="s">
        <v>509</v>
      </c>
      <c r="J22" s="58" t="s">
        <v>524</v>
      </c>
      <c r="K22" s="433">
        <f>IF(I22="mg/L",H22,IF(I22="mol/L",H22*G26*1000,IF(I22="log-mol/L",(10^(H22))*G26*1000,NA())))</f>
        <v>3726.9</v>
      </c>
      <c r="L22" s="178">
        <f t="shared" ref="L22:L27" si="5">IF(I22="log-mg/L",H22,LOG(K22))</f>
        <v>3.5713477399417028</v>
      </c>
      <c r="M22" s="433">
        <f>IF(I22="mol/L",H22,IF(I22="log-mol/L",10^H22,K22/(1000*G26)))</f>
        <v>8.9999999999999993E-3</v>
      </c>
      <c r="N22" s="178">
        <f t="shared" ref="N22:N27" si="6">IF(I22="log-mol/L",H22,LOG(M22))</f>
        <v>-2.0457574905606752</v>
      </c>
      <c r="O22" s="58">
        <v>20</v>
      </c>
      <c r="P22" s="30" t="s">
        <v>81</v>
      </c>
      <c r="Q22" s="121">
        <f>VLOOKUP(P22,References!$B$7:$F$252,5,FALSE)</f>
        <v>113</v>
      </c>
    </row>
    <row r="23" spans="1:17" x14ac:dyDescent="0.2">
      <c r="A23" s="868"/>
      <c r="B23" s="869"/>
      <c r="C23" s="832"/>
      <c r="D23" s="832"/>
      <c r="E23" s="149" t="s">
        <v>78</v>
      </c>
      <c r="F23" s="58" t="s">
        <v>79</v>
      </c>
      <c r="G23" s="58">
        <v>414.1</v>
      </c>
      <c r="H23" s="353">
        <v>8.0000000000000002E-3</v>
      </c>
      <c r="I23" s="58" t="s">
        <v>509</v>
      </c>
      <c r="J23" s="58" t="s">
        <v>524</v>
      </c>
      <c r="K23" s="433">
        <f>IF(I23="mg/L",H23,IF(I23="mol/L",H23*G27*1000,IF(I23="log-mol/L",(10^(H23))*G27*1000,NA())))</f>
        <v>3312.8</v>
      </c>
      <c r="L23" s="178">
        <f t="shared" si="5"/>
        <v>3.5201952174943218</v>
      </c>
      <c r="M23" s="433">
        <f>IF(I23="mol/L",H23,IF(I23="log-mol/L",10^H23,K23/(1000*G27)))</f>
        <v>8.0000000000000002E-3</v>
      </c>
      <c r="N23" s="178">
        <f t="shared" si="6"/>
        <v>-2.0969100130080562</v>
      </c>
      <c r="O23" s="58">
        <v>25</v>
      </c>
      <c r="P23" s="30" t="s">
        <v>81</v>
      </c>
      <c r="Q23" s="100">
        <f>VLOOKUP(P23,References!$B$7:$F$252,5,FALSE)</f>
        <v>113</v>
      </c>
    </row>
    <row r="24" spans="1:17" x14ac:dyDescent="0.2">
      <c r="A24" s="868"/>
      <c r="B24" s="869"/>
      <c r="C24" s="832"/>
      <c r="D24" s="832"/>
      <c r="E24" s="149" t="s">
        <v>78</v>
      </c>
      <c r="F24" s="58" t="s">
        <v>79</v>
      </c>
      <c r="G24" s="58">
        <v>414.1</v>
      </c>
      <c r="H24" s="353">
        <v>9.1000000000000004E-3</v>
      </c>
      <c r="I24" s="58" t="s">
        <v>509</v>
      </c>
      <c r="J24" s="58" t="s">
        <v>524</v>
      </c>
      <c r="K24" s="433">
        <f>IF(I24="mg/L",H24,IF(I24="mol/L",H24*G28*1000,IF(I24="log-mol/L",(10^(H24))*G28*1000,NA())))</f>
        <v>3768.3100000000004</v>
      </c>
      <c r="L24" s="178">
        <f t="shared" si="5"/>
        <v>3.5761466228234715</v>
      </c>
      <c r="M24" s="433">
        <f>IF(I24="mol/L",H24,IF(I24="log-mol/L",10^H24,K24/(1000*G28)))</f>
        <v>9.1000000000000004E-3</v>
      </c>
      <c r="N24" s="178">
        <f t="shared" si="6"/>
        <v>-2.0409586076789066</v>
      </c>
      <c r="O24" s="58">
        <v>25</v>
      </c>
      <c r="P24" s="30" t="s">
        <v>81</v>
      </c>
      <c r="Q24" s="100">
        <f>VLOOKUP(P24,References!$B$7:$F$252,5,FALSE)</f>
        <v>113</v>
      </c>
    </row>
    <row r="25" spans="1:17" x14ac:dyDescent="0.2">
      <c r="A25" s="868"/>
      <c r="B25" s="869"/>
      <c r="C25" s="832"/>
      <c r="D25" s="832"/>
      <c r="E25" s="149" t="s">
        <v>78</v>
      </c>
      <c r="F25" s="58" t="s">
        <v>79</v>
      </c>
      <c r="G25" s="58">
        <v>414.1</v>
      </c>
      <c r="H25" s="353">
        <v>0.03</v>
      </c>
      <c r="I25" s="58" t="s">
        <v>509</v>
      </c>
      <c r="J25" s="58" t="s">
        <v>524</v>
      </c>
      <c r="K25" s="433">
        <f>IF(I25="mg/L",H25,IF(I25="mol/L",H25*G29*1000,IF(I25="log-mol/L",(10^(H25))*G29*1000,NA())))</f>
        <v>12423</v>
      </c>
      <c r="L25" s="178">
        <f t="shared" si="5"/>
        <v>4.0942264852220402</v>
      </c>
      <c r="M25" s="433">
        <f>IF(I25="mol/L",H25,IF(I25="log-mol/L",10^H25,K25/(1000*G29)))</f>
        <v>0.03</v>
      </c>
      <c r="N25" s="178">
        <f t="shared" si="6"/>
        <v>-1.5228787452803376</v>
      </c>
      <c r="O25" s="58">
        <v>20</v>
      </c>
      <c r="P25" s="30" t="s">
        <v>640</v>
      </c>
      <c r="Q25" s="100">
        <f>VLOOKUP(P25,References!$B$7:$F$252,5,FALSE)</f>
        <v>83</v>
      </c>
    </row>
    <row r="26" spans="1:17" x14ac:dyDescent="0.2">
      <c r="A26" s="868"/>
      <c r="B26" s="869"/>
      <c r="C26" s="832"/>
      <c r="D26" s="832"/>
      <c r="E26" s="149" t="s">
        <v>78</v>
      </c>
      <c r="F26" s="58" t="s">
        <v>79</v>
      </c>
      <c r="G26" s="58">
        <v>414.1</v>
      </c>
      <c r="H26" s="377">
        <v>15696</v>
      </c>
      <c r="I26" s="58" t="s">
        <v>507</v>
      </c>
      <c r="J26" s="58" t="s">
        <v>33</v>
      </c>
      <c r="K26" s="433">
        <f>IF(I26="mg/L",H26,IF(I26="mol/L",H26*G35*1000,IF(I26="log-mol/L",(10^(H26))*G35*1000,NA())))</f>
        <v>15696</v>
      </c>
      <c r="L26" s="178">
        <f t="shared" si="5"/>
        <v>4.1957889900358731</v>
      </c>
      <c r="M26" s="433">
        <f>IF(I26="mol/L",H26,IF(I26="log-mol/L",10^H26,K26/(1000*G35)))</f>
        <v>3.7903887949770586E-2</v>
      </c>
      <c r="N26" s="178">
        <f t="shared" si="6"/>
        <v>-1.4213162404665047</v>
      </c>
      <c r="O26" s="58" t="s">
        <v>33</v>
      </c>
      <c r="P26" s="30" t="s">
        <v>641</v>
      </c>
      <c r="Q26" s="122">
        <f>VLOOKUP(P26,References!$B$7:$F$252,5,FALSE)</f>
        <v>140</v>
      </c>
    </row>
    <row r="27" spans="1:17" x14ac:dyDescent="0.2">
      <c r="A27" s="868"/>
      <c r="B27" s="869"/>
      <c r="C27" s="832"/>
      <c r="D27" s="832"/>
      <c r="E27" s="149" t="s">
        <v>78</v>
      </c>
      <c r="F27" s="58" t="s">
        <v>79</v>
      </c>
      <c r="G27" s="58">
        <v>414.1</v>
      </c>
      <c r="H27" s="353">
        <v>-2.4</v>
      </c>
      <c r="I27" s="58" t="s">
        <v>521</v>
      </c>
      <c r="J27" s="58" t="s">
        <v>27</v>
      </c>
      <c r="K27" s="433">
        <f>IF(I27="mg/L",H27,IF(I27="mol/L",H27*G30*1000,IF(I27="log-mol/L",(10^(H27))*G30*1000,NA())))</f>
        <v>1648.5617932620319</v>
      </c>
      <c r="L27" s="178">
        <f t="shared" si="5"/>
        <v>3.2171052305023782</v>
      </c>
      <c r="M27" s="433">
        <f>IF(I27="mol/L",H27,IF(I27="log-mol/L",10^H27,K27/(1000*G30)))</f>
        <v>3.9810717055349717E-3</v>
      </c>
      <c r="N27" s="178">
        <f t="shared" si="6"/>
        <v>-2.4</v>
      </c>
      <c r="O27" s="58" t="s">
        <v>33</v>
      </c>
      <c r="P27" s="30" t="s">
        <v>639</v>
      </c>
      <c r="Q27" s="100">
        <f>VLOOKUP(P27,References!$B$7:$F$252,5,FALSE)</f>
        <v>84</v>
      </c>
    </row>
    <row r="28" spans="1:17" x14ac:dyDescent="0.2">
      <c r="A28" s="868"/>
      <c r="B28" s="869"/>
      <c r="C28" s="832"/>
      <c r="D28" s="832"/>
      <c r="E28" s="149" t="s">
        <v>78</v>
      </c>
      <c r="F28" s="58" t="s">
        <v>79</v>
      </c>
      <c r="G28" s="58">
        <v>414.1</v>
      </c>
      <c r="H28" s="352">
        <v>-2.0099999999999998</v>
      </c>
      <c r="I28" s="58" t="s">
        <v>521</v>
      </c>
      <c r="J28" s="58" t="s">
        <v>27</v>
      </c>
      <c r="K28" s="433">
        <f>IF(I28="mg/L",H28,IF(I28="mol/L",H28*G22*1000,IF(I28="log-mol/L",(10^(H28))*G22*1000,NA())))</f>
        <v>4046.7393319780117</v>
      </c>
      <c r="L28" s="178">
        <f t="shared" si="1"/>
        <v>3.6071052305023779</v>
      </c>
      <c r="M28" s="433">
        <f>IF(I28="mol/L",H28,IF(I28="log-mol/L",10^H28,K28/(1000*G22)))</f>
        <v>9.7723722095581049E-3</v>
      </c>
      <c r="N28" s="178">
        <f t="shared" si="3"/>
        <v>-2.0099999999999998</v>
      </c>
      <c r="O28" s="58">
        <v>25</v>
      </c>
      <c r="P28" s="30" t="s">
        <v>520</v>
      </c>
      <c r="Q28" s="100">
        <f>VLOOKUP(P28,References!$B$7:$F$252,5,FALSE)</f>
        <v>14</v>
      </c>
    </row>
    <row r="29" spans="1:17" x14ac:dyDescent="0.2">
      <c r="A29" s="868"/>
      <c r="B29" s="869"/>
      <c r="C29" s="832"/>
      <c r="D29" s="832"/>
      <c r="E29" s="149" t="s">
        <v>78</v>
      </c>
      <c r="F29" s="58" t="s">
        <v>79</v>
      </c>
      <c r="G29" s="58">
        <v>414.1</v>
      </c>
      <c r="H29" s="352">
        <v>-1.92</v>
      </c>
      <c r="I29" s="58" t="s">
        <v>521</v>
      </c>
      <c r="J29" s="58" t="s">
        <v>27</v>
      </c>
      <c r="K29" s="433">
        <f>IF(I29="mg/L",H29,IF(I29="mol/L",H29*G23*1000,IF(I29="log-mol/L",(10^(H29))*G23*1000,NA())))</f>
        <v>4978.5770237507049</v>
      </c>
      <c r="L29" s="178">
        <f t="shared" si="1"/>
        <v>3.6971052305023777</v>
      </c>
      <c r="M29" s="433">
        <f>IF(I29="mol/L",H29,IF(I29="log-mol/L",10^H29,K29/(1000*G23)))</f>
        <v>1.2022644346174125E-2</v>
      </c>
      <c r="N29" s="178">
        <f t="shared" si="3"/>
        <v>-1.92</v>
      </c>
      <c r="O29" s="58">
        <v>25</v>
      </c>
      <c r="P29" s="30" t="s">
        <v>520</v>
      </c>
      <c r="Q29" s="100">
        <f>VLOOKUP(P29,References!$B$7:$F$252,5,FALSE)</f>
        <v>14</v>
      </c>
    </row>
    <row r="30" spans="1:17" x14ac:dyDescent="0.2">
      <c r="A30" s="868"/>
      <c r="B30" s="869"/>
      <c r="C30" s="832"/>
      <c r="D30" s="832"/>
      <c r="E30" s="149" t="s">
        <v>78</v>
      </c>
      <c r="F30" s="58" t="s">
        <v>79</v>
      </c>
      <c r="G30" s="58">
        <v>414.1</v>
      </c>
      <c r="H30" s="352">
        <v>-2.11</v>
      </c>
      <c r="I30" s="58" t="s">
        <v>521</v>
      </c>
      <c r="J30" s="58" t="s">
        <v>519</v>
      </c>
      <c r="K30" s="433">
        <f>IF(I30="mg/L",H30,IF(I30="mol/L",H30*G24*1000,IF(I30="log-mol/L",(10^(H30))*G24*1000,NA())))</f>
        <v>3214.4393099594122</v>
      </c>
      <c r="L30" s="178">
        <f t="shared" si="1"/>
        <v>3.5071052305023782</v>
      </c>
      <c r="M30" s="433">
        <f>IF(I30="mol/L",H30,IF(I30="log-mol/L",10^H30,K30/(1000*G24)))</f>
        <v>7.7624711662869156E-3</v>
      </c>
      <c r="N30" s="178">
        <f t="shared" si="3"/>
        <v>-2.11</v>
      </c>
      <c r="O30" s="58">
        <v>25</v>
      </c>
      <c r="P30" s="30" t="s">
        <v>520</v>
      </c>
      <c r="Q30" s="100">
        <f>VLOOKUP(P30,References!$B$7:$F$252,5,FALSE)</f>
        <v>14</v>
      </c>
    </row>
    <row r="31" spans="1:17" x14ac:dyDescent="0.2">
      <c r="A31" s="868"/>
      <c r="B31" s="869"/>
      <c r="C31" s="832"/>
      <c r="D31" s="832"/>
      <c r="E31" s="149" t="s">
        <v>78</v>
      </c>
      <c r="F31" s="58" t="s">
        <v>79</v>
      </c>
      <c r="G31" s="58">
        <v>414.1</v>
      </c>
      <c r="H31" s="180">
        <v>-1.86</v>
      </c>
      <c r="I31" s="58" t="s">
        <v>521</v>
      </c>
      <c r="J31" s="58" t="s">
        <v>519</v>
      </c>
      <c r="K31" s="433">
        <f>IF(I31="mg/L",H31,IF(I31="mol/L",H31*G25*1000,IF(I31="log-mol/L",(10^(H31))*G25*1000,NA())))</f>
        <v>5716.1712397205411</v>
      </c>
      <c r="L31" s="178">
        <f t="shared" si="1"/>
        <v>3.7571052305023778</v>
      </c>
      <c r="M31" s="433">
        <f>IF(I31="mol/L",H31,IF(I31="log-mol/L",10^H31,K31/(1000*G25)))</f>
        <v>1.3803842646028837E-2</v>
      </c>
      <c r="N31" s="178">
        <f t="shared" si="3"/>
        <v>-1.86</v>
      </c>
      <c r="O31" s="58">
        <v>25</v>
      </c>
      <c r="P31" s="30" t="s">
        <v>520</v>
      </c>
      <c r="Q31" s="100">
        <f>VLOOKUP(P31,References!$B$7:$F$252,5,FALSE)</f>
        <v>14</v>
      </c>
    </row>
    <row r="32" spans="1:17" x14ac:dyDescent="0.2">
      <c r="A32" s="868"/>
      <c r="B32" s="869"/>
      <c r="C32" s="832"/>
      <c r="D32" s="832"/>
      <c r="E32" s="149" t="s">
        <v>78</v>
      </c>
      <c r="F32" s="58" t="s">
        <v>79</v>
      </c>
      <c r="G32" s="58">
        <v>414.1</v>
      </c>
      <c r="H32" s="378">
        <v>1.11E-2</v>
      </c>
      <c r="I32" s="58" t="s">
        <v>509</v>
      </c>
      <c r="J32" s="58" t="s">
        <v>27</v>
      </c>
      <c r="K32" s="433">
        <f>IF(I32="mg/L",H32,IF(I32="mol/L",H32*G26*1000,IF(I32="log-mol/L",(10^(H32))*G26*1000,NA())))</f>
        <v>4596.51</v>
      </c>
      <c r="L32" s="178">
        <f t="shared" ref="L32" si="7">IF(I32="log-mg/L",H32,LOG(K32))</f>
        <v>3.6624282092890357</v>
      </c>
      <c r="M32" s="433">
        <f>IF(I32="mol/L",H32,IF(I32="log-mol/L",10^H32,K32/(1000*G26)))</f>
        <v>1.11E-2</v>
      </c>
      <c r="N32" s="178">
        <f t="shared" ref="N32" si="8">IF(I32="log-mol/L",H32,LOG(M32))</f>
        <v>-1.9546770212133426</v>
      </c>
      <c r="O32" s="58" t="s">
        <v>33</v>
      </c>
      <c r="P32" s="30" t="s">
        <v>642</v>
      </c>
      <c r="Q32" s="100">
        <f>VLOOKUP(P32,References!$B$7:$F$252,5,FALSE)</f>
        <v>124</v>
      </c>
    </row>
    <row r="33" spans="1:17" x14ac:dyDescent="0.2">
      <c r="A33" s="868"/>
      <c r="B33" s="869"/>
      <c r="C33" s="832"/>
      <c r="D33" s="832"/>
      <c r="E33" s="149" t="s">
        <v>78</v>
      </c>
      <c r="F33" s="58" t="s">
        <v>79</v>
      </c>
      <c r="G33" s="58">
        <v>414.1</v>
      </c>
      <c r="H33" s="378">
        <v>9.9100000000000004E-3</v>
      </c>
      <c r="I33" s="58" t="s">
        <v>509</v>
      </c>
      <c r="J33" s="58" t="s">
        <v>27</v>
      </c>
      <c r="K33" s="433">
        <f t="shared" ref="K33:K34" si="9">IF(I33="mg/L",H33,IF(I33="mol/L",H33*G27*1000,IF(I33="log-mol/L",(10^(H33))*G27*1000,NA())))</f>
        <v>4103.7310000000007</v>
      </c>
      <c r="L33" s="178">
        <f t="shared" ref="L33:L34" si="10">IF(I33="log-mg/L",H33,LOG(K33))</f>
        <v>3.6131788849876534</v>
      </c>
      <c r="M33" s="433">
        <f t="shared" ref="M33:M34" si="11">IF(I33="mol/L",H33,IF(I33="log-mol/L",10^H33,K33/(1000*G27)))</f>
        <v>9.9100000000000004E-3</v>
      </c>
      <c r="N33" s="178">
        <f t="shared" ref="N33:N34" si="12">IF(I33="log-mol/L",H33,LOG(M33))</f>
        <v>-2.0039263455147247</v>
      </c>
      <c r="O33" s="58" t="s">
        <v>33</v>
      </c>
      <c r="P33" s="30" t="s">
        <v>642</v>
      </c>
      <c r="Q33" s="100">
        <f>VLOOKUP(P33,References!$B$7:$F$252,5,FALSE)</f>
        <v>124</v>
      </c>
    </row>
    <row r="34" spans="1:17" x14ac:dyDescent="0.2">
      <c r="A34" s="868"/>
      <c r="B34" s="869"/>
      <c r="C34" s="832"/>
      <c r="D34" s="832"/>
      <c r="E34" s="149" t="s">
        <v>78</v>
      </c>
      <c r="F34" s="58" t="s">
        <v>79</v>
      </c>
      <c r="G34" s="58">
        <v>414.1</v>
      </c>
      <c r="H34" s="378">
        <v>9.4000000000000004E-3</v>
      </c>
      <c r="I34" s="58" t="s">
        <v>509</v>
      </c>
      <c r="J34" s="58" t="s">
        <v>27</v>
      </c>
      <c r="K34" s="433">
        <f t="shared" si="9"/>
        <v>3892.5400000000004</v>
      </c>
      <c r="L34" s="178">
        <f t="shared" si="10"/>
        <v>3.5902330841020769</v>
      </c>
      <c r="M34" s="433">
        <f t="shared" si="11"/>
        <v>9.4000000000000004E-3</v>
      </c>
      <c r="N34" s="178">
        <f t="shared" si="12"/>
        <v>-2.0268721464003012</v>
      </c>
      <c r="O34" s="58" t="s">
        <v>33</v>
      </c>
      <c r="P34" s="30" t="s">
        <v>642</v>
      </c>
      <c r="Q34" s="100">
        <f>VLOOKUP(P34,References!$B$7:$F$252,5,FALSE)</f>
        <v>124</v>
      </c>
    </row>
    <row r="35" spans="1:17" x14ac:dyDescent="0.2">
      <c r="A35" s="879"/>
      <c r="B35" s="851"/>
      <c r="C35" s="834"/>
      <c r="D35" s="834"/>
      <c r="E35" s="182" t="s">
        <v>78</v>
      </c>
      <c r="F35" s="59" t="s">
        <v>79</v>
      </c>
      <c r="G35" s="59">
        <v>414.1</v>
      </c>
      <c r="H35" s="454">
        <v>2.6499999999999999E-2</v>
      </c>
      <c r="I35" s="59" t="s">
        <v>509</v>
      </c>
      <c r="J35" s="59" t="s">
        <v>27</v>
      </c>
      <c r="K35" s="469">
        <f>IF(I35="mg/L",H35,IF(I35="mol/L",H35*G31*1000,IF(I35="log-mol/L",(10^(H35))*G31*1000,NA())))</f>
        <v>10973.650000000001</v>
      </c>
      <c r="L35" s="183">
        <f>IF(I35="log-mg/L",H35,LOG(K35))</f>
        <v>4.0403511044391855</v>
      </c>
      <c r="M35" s="469">
        <f>IF(I35="mol/L",H35,IF(I35="log-mol/L",10^H35,K35/(1000*G31)))</f>
        <v>2.6499999999999999E-2</v>
      </c>
      <c r="N35" s="183">
        <f>IF(I35="log-mol/L",H35,LOG(M35))</f>
        <v>-1.5767541260631921</v>
      </c>
      <c r="O35" s="59">
        <v>24</v>
      </c>
      <c r="P35" s="37" t="s">
        <v>643</v>
      </c>
      <c r="Q35" s="122">
        <f>VLOOKUP(P35,References!$B$7:$F$252,5,FALSE)</f>
        <v>30</v>
      </c>
    </row>
    <row r="36" spans="1:17" x14ac:dyDescent="0.2">
      <c r="A36" s="868" t="s">
        <v>86</v>
      </c>
      <c r="B36" s="869" t="s">
        <v>87</v>
      </c>
      <c r="C36" s="832">
        <v>464.1</v>
      </c>
      <c r="D36" s="832" t="s">
        <v>88</v>
      </c>
      <c r="E36" s="149" t="s">
        <v>87</v>
      </c>
      <c r="F36" s="58" t="s">
        <v>88</v>
      </c>
      <c r="G36" s="58">
        <v>464.1</v>
      </c>
      <c r="H36" s="378">
        <v>2.8E-3</v>
      </c>
      <c r="I36" s="58" t="s">
        <v>509</v>
      </c>
      <c r="J36" s="58" t="s">
        <v>27</v>
      </c>
      <c r="K36" s="433">
        <f>IF(I36="mg/L",H36,IF(I36="mol/L",H36*G40*1000,IF(I36="log-mol/L",(10^(H36))*G40*1000,NA())))</f>
        <v>1299.48</v>
      </c>
      <c r="L36" s="178">
        <f>IF(I36="log-mg/L",H36,LOG(K36))</f>
        <v>3.1137695997612491</v>
      </c>
      <c r="M36" s="433">
        <f>IF(I36="mol/L",H36,IF(I36="log-mol/L",10^H36,K36/(1000*G40)))</f>
        <v>2.8E-3</v>
      </c>
      <c r="N36" s="178">
        <f>IF(I36="log-mol/L",H36,LOG(M36))</f>
        <v>-2.5528419686577806</v>
      </c>
      <c r="O36" s="58">
        <v>60</v>
      </c>
      <c r="P36" s="30" t="s">
        <v>70</v>
      </c>
      <c r="Q36" s="100">
        <f>VLOOKUP(P36,References!$B$7:$F$252,5,FALSE)</f>
        <v>65</v>
      </c>
    </row>
    <row r="37" spans="1:17" x14ac:dyDescent="0.2">
      <c r="A37" s="868"/>
      <c r="B37" s="869"/>
      <c r="C37" s="832"/>
      <c r="D37" s="832"/>
      <c r="E37" s="149" t="s">
        <v>87</v>
      </c>
      <c r="F37" s="58" t="s">
        <v>88</v>
      </c>
      <c r="G37" s="58">
        <v>464.1</v>
      </c>
      <c r="H37" s="180">
        <v>-2.9</v>
      </c>
      <c r="I37" s="58" t="s">
        <v>521</v>
      </c>
      <c r="J37" s="58" t="s">
        <v>27</v>
      </c>
      <c r="K37" s="433">
        <f>IF(I37="mg/L",H37,IF(I37="mol/L",H37*G39*1000,IF(I37="log-mol/L",(10^(H37))*G39*1000,NA())))</f>
        <v>585.52620902546676</v>
      </c>
      <c r="L37" s="178">
        <f>IF(I37="log-mg/L",H37,LOG(K37))</f>
        <v>2.7675463395115161</v>
      </c>
      <c r="M37" s="433">
        <f>IF(I37="mol/L",H37,IF(I37="log-mol/L",10^H37,K37/(1000*G39)))</f>
        <v>1.2589254117941662E-3</v>
      </c>
      <c r="N37" s="178">
        <f>IF(I37="log-mol/L",H37,LOG(M37))</f>
        <v>-2.9</v>
      </c>
      <c r="O37" s="58" t="s">
        <v>33</v>
      </c>
      <c r="P37" s="30" t="s">
        <v>639</v>
      </c>
      <c r="Q37" s="100">
        <f>VLOOKUP(P37,References!$B$7:$F$252,5,FALSE)</f>
        <v>84</v>
      </c>
    </row>
    <row r="38" spans="1:17" x14ac:dyDescent="0.2">
      <c r="A38" s="868"/>
      <c r="B38" s="869"/>
      <c r="C38" s="832"/>
      <c r="D38" s="832"/>
      <c r="E38" s="149" t="s">
        <v>87</v>
      </c>
      <c r="F38" s="58" t="s">
        <v>88</v>
      </c>
      <c r="G38" s="58">
        <v>464.1</v>
      </c>
      <c r="H38" s="180">
        <v>-2.58</v>
      </c>
      <c r="I38" s="58" t="s">
        <v>521</v>
      </c>
      <c r="J38" s="58" t="s">
        <v>519</v>
      </c>
      <c r="K38" s="433">
        <f>IF(I38="mg/L",H38,IF(I38="mol/L",H38*G36*1000,IF(I38="log-mol/L",(10^(H38))*G36*1000,NA())))</f>
        <v>1220.7073750386455</v>
      </c>
      <c r="L38" s="178">
        <f t="shared" si="1"/>
        <v>3.0866115684190296</v>
      </c>
      <c r="M38" s="433">
        <f>IF(I38="mol/L",H38,IF(I38="log-mol/L",10^H38,K38/(1000*G36)))</f>
        <v>2.6302679918953791E-3</v>
      </c>
      <c r="N38" s="178">
        <f t="shared" si="3"/>
        <v>-2.58</v>
      </c>
      <c r="O38" s="58">
        <v>25</v>
      </c>
      <c r="P38" s="30" t="s">
        <v>520</v>
      </c>
      <c r="Q38" s="100">
        <f>VLOOKUP(P38,References!$B$7:$F$252,5,FALSE)</f>
        <v>14</v>
      </c>
    </row>
    <row r="39" spans="1:17" x14ac:dyDescent="0.2">
      <c r="A39" s="868"/>
      <c r="B39" s="869"/>
      <c r="C39" s="832"/>
      <c r="D39" s="832"/>
      <c r="E39" s="149" t="s">
        <v>87</v>
      </c>
      <c r="F39" s="58" t="s">
        <v>88</v>
      </c>
      <c r="G39" s="58">
        <v>465.1</v>
      </c>
      <c r="H39" s="180">
        <v>-2.0699999999999998</v>
      </c>
      <c r="I39" s="58" t="s">
        <v>521</v>
      </c>
      <c r="J39" s="58" t="s">
        <v>27</v>
      </c>
      <c r="K39" s="433">
        <f>IF(I39="mg/L",H39,IF(I39="mol/L",H39*G37*1000,IF(I39="log-mol/L",(10^(H39))*G37*1000,NA())))</f>
        <v>3950.1316352972308</v>
      </c>
      <c r="L39" s="178">
        <f t="shared" si="1"/>
        <v>3.5966115684190303</v>
      </c>
      <c r="M39" s="433">
        <f>IF(I39="mol/L",H39,IF(I39="log-mol/L",10^H39,K39/(1000*G37)))</f>
        <v>8.5113803820237675E-3</v>
      </c>
      <c r="N39" s="178">
        <f t="shared" si="3"/>
        <v>-2.0699999999999998</v>
      </c>
      <c r="O39" s="58">
        <v>25</v>
      </c>
      <c r="P39" s="30" t="s">
        <v>520</v>
      </c>
      <c r="Q39" s="100">
        <f>VLOOKUP(P39,References!$B$7:$F$252,5,FALSE)</f>
        <v>14</v>
      </c>
    </row>
    <row r="40" spans="1:17" x14ac:dyDescent="0.2">
      <c r="A40" s="868"/>
      <c r="B40" s="869"/>
      <c r="C40" s="832"/>
      <c r="D40" s="832"/>
      <c r="E40" s="149" t="s">
        <v>87</v>
      </c>
      <c r="F40" s="58" t="s">
        <v>88</v>
      </c>
      <c r="G40" s="58">
        <v>464.1</v>
      </c>
      <c r="H40" s="180">
        <v>-2.41</v>
      </c>
      <c r="I40" s="58" t="s">
        <v>521</v>
      </c>
      <c r="J40" s="58" t="s">
        <v>519</v>
      </c>
      <c r="K40" s="433">
        <f>IF(I40="mg/L",H40,IF(I40="mol/L",H40*G38*1000,IF(I40="log-mol/L",(10^(H40))*G38*1000,NA())))</f>
        <v>1805.5585179184545</v>
      </c>
      <c r="L40" s="178">
        <f t="shared" si="1"/>
        <v>3.2566115684190295</v>
      </c>
      <c r="M40" s="433">
        <f>IF(I40="mol/L",H40,IF(I40="log-mol/L",10^H40,K40/(1000*G38)))</f>
        <v>3.8904514499428023E-3</v>
      </c>
      <c r="N40" s="178">
        <f t="shared" si="3"/>
        <v>-2.41</v>
      </c>
      <c r="O40" s="58">
        <v>25</v>
      </c>
      <c r="P40" s="30" t="s">
        <v>520</v>
      </c>
      <c r="Q40" s="100">
        <f>VLOOKUP(P40,References!$B$7:$F$252,5,FALSE)</f>
        <v>14</v>
      </c>
    </row>
    <row r="41" spans="1:17" x14ac:dyDescent="0.2">
      <c r="A41" s="868"/>
      <c r="B41" s="869"/>
      <c r="C41" s="832"/>
      <c r="D41" s="832"/>
      <c r="E41" s="149" t="s">
        <v>87</v>
      </c>
      <c r="F41" s="58" t="s">
        <v>88</v>
      </c>
      <c r="G41" s="58">
        <v>464.1</v>
      </c>
      <c r="H41" s="378">
        <v>2.2399999999999998E-3</v>
      </c>
      <c r="I41" s="58" t="s">
        <v>509</v>
      </c>
      <c r="J41" s="58" t="s">
        <v>27</v>
      </c>
      <c r="K41" s="433">
        <f t="shared" ref="K41:K43" si="13">IF(I41="mg/L",H41,IF(I41="mol/L",H41*G39*1000,IF(I41="log-mol/L",(10^(H41))*G39*1000,NA())))</f>
        <v>1041.8239999999998</v>
      </c>
      <c r="L41" s="178">
        <f t="shared" ref="L41:L43" si="14">IF(I41="log-mg/L",H41,LOG(K41))</f>
        <v>3.0177943578456792</v>
      </c>
      <c r="M41" s="433">
        <f t="shared" ref="M41:M43" si="15">IF(I41="mol/L",H41,IF(I41="log-mol/L",10^H41,K41/(1000*G39)))</f>
        <v>2.2399999999999998E-3</v>
      </c>
      <c r="N41" s="178">
        <f t="shared" ref="N41:N43" si="16">IF(I41="log-mol/L",H41,LOG(M41))</f>
        <v>-2.6497519816658373</v>
      </c>
      <c r="O41" s="58" t="s">
        <v>33</v>
      </c>
      <c r="P41" s="30" t="s">
        <v>642</v>
      </c>
      <c r="Q41" s="100">
        <f>VLOOKUP(P41,References!$B$7:$F$252,5,FALSE)</f>
        <v>124</v>
      </c>
    </row>
    <row r="42" spans="1:17" x14ac:dyDescent="0.2">
      <c r="A42" s="868"/>
      <c r="B42" s="869"/>
      <c r="C42" s="832"/>
      <c r="D42" s="832"/>
      <c r="E42" s="149" t="s">
        <v>87</v>
      </c>
      <c r="F42" s="58" t="s">
        <v>88</v>
      </c>
      <c r="G42" s="58">
        <v>464.1</v>
      </c>
      <c r="H42" s="378">
        <v>2.2499999999999998E-3</v>
      </c>
      <c r="I42" s="58" t="s">
        <v>509</v>
      </c>
      <c r="J42" s="58" t="s">
        <v>27</v>
      </c>
      <c r="K42" s="433">
        <f t="shared" si="13"/>
        <v>1044.2249999999999</v>
      </c>
      <c r="L42" s="178">
        <f t="shared" si="14"/>
        <v>3.0187940865303924</v>
      </c>
      <c r="M42" s="433">
        <f t="shared" si="15"/>
        <v>2.2499999999999998E-3</v>
      </c>
      <c r="N42" s="178">
        <f t="shared" si="16"/>
        <v>-2.6478174818886377</v>
      </c>
      <c r="O42" s="58" t="s">
        <v>33</v>
      </c>
      <c r="P42" s="30" t="s">
        <v>642</v>
      </c>
      <c r="Q42" s="100">
        <f>VLOOKUP(P42,References!$B$7:$F$252,5,FALSE)</f>
        <v>124</v>
      </c>
    </row>
    <row r="43" spans="1:17" x14ac:dyDescent="0.2">
      <c r="A43" s="879"/>
      <c r="B43" s="851"/>
      <c r="C43" s="834"/>
      <c r="D43" s="834"/>
      <c r="E43" s="182" t="s">
        <v>87</v>
      </c>
      <c r="F43" s="59" t="s">
        <v>88</v>
      </c>
      <c r="G43" s="59">
        <v>464.1</v>
      </c>
      <c r="H43" s="593">
        <v>2.2300000000000002E-3</v>
      </c>
      <c r="I43" s="59" t="s">
        <v>509</v>
      </c>
      <c r="J43" s="59" t="s">
        <v>27</v>
      </c>
      <c r="K43" s="469">
        <f t="shared" si="13"/>
        <v>1034.9430000000002</v>
      </c>
      <c r="L43" s="183">
        <f t="shared" si="14"/>
        <v>3.0149164314671908</v>
      </c>
      <c r="M43" s="469">
        <f t="shared" si="15"/>
        <v>2.2300000000000002E-3</v>
      </c>
      <c r="N43" s="183">
        <f t="shared" si="16"/>
        <v>-2.6516951369518393</v>
      </c>
      <c r="O43" s="59" t="s">
        <v>33</v>
      </c>
      <c r="P43" s="37" t="s">
        <v>642</v>
      </c>
      <c r="Q43" s="122">
        <f>VLOOKUP(P43,References!$B$7:$F$252,5,FALSE)</f>
        <v>124</v>
      </c>
    </row>
    <row r="44" spans="1:17" x14ac:dyDescent="0.2">
      <c r="A44" s="867" t="s">
        <v>95</v>
      </c>
      <c r="B44" s="850" t="s">
        <v>96</v>
      </c>
      <c r="C44" s="833">
        <v>514.1</v>
      </c>
      <c r="D44" s="832" t="s">
        <v>97</v>
      </c>
      <c r="E44" s="149" t="s">
        <v>96</v>
      </c>
      <c r="F44" s="58" t="s">
        <v>97</v>
      </c>
      <c r="G44" s="58">
        <v>514.1</v>
      </c>
      <c r="H44" s="180">
        <v>-3.6</v>
      </c>
      <c r="I44" s="58" t="s">
        <v>521</v>
      </c>
      <c r="J44" s="58" t="s">
        <v>27</v>
      </c>
      <c r="K44" s="433">
        <f>IF(I44="mg/L",H44,IF(I44="mol/L",H44*G46*1000,IF(I44="log-mol/L",(10^(H44))*G46*1000,NA())))</f>
        <v>129.38727008705834</v>
      </c>
      <c r="L44" s="178">
        <f t="shared" ref="L44" si="17">IF(I44="log-mg/L",H44,LOG(K44))</f>
        <v>2.1118915498805784</v>
      </c>
      <c r="M44" s="433">
        <f>IF(I44="mol/L",H44,IF(I44="log-mol/L",10^H44,K44/(1000*G46)))</f>
        <v>2.5118864315095774E-4</v>
      </c>
      <c r="N44" s="178">
        <f t="shared" ref="N44" si="18">IF(I44="log-mol/L",H44,LOG(M44))</f>
        <v>-3.6</v>
      </c>
      <c r="O44" s="58" t="s">
        <v>33</v>
      </c>
      <c r="P44" s="30" t="s">
        <v>639</v>
      </c>
      <c r="Q44" s="100">
        <f>VLOOKUP(P44,References!$B$7:$F$252,5,FALSE)</f>
        <v>84</v>
      </c>
    </row>
    <row r="45" spans="1:17" x14ac:dyDescent="0.2">
      <c r="A45" s="868"/>
      <c r="B45" s="869"/>
      <c r="C45" s="832"/>
      <c r="D45" s="832"/>
      <c r="E45" s="149" t="s">
        <v>96</v>
      </c>
      <c r="F45" s="58" t="s">
        <v>97</v>
      </c>
      <c r="G45" s="58">
        <v>514.1</v>
      </c>
      <c r="H45" s="180">
        <v>-3.07</v>
      </c>
      <c r="I45" s="58" t="s">
        <v>521</v>
      </c>
      <c r="J45" s="58" t="s">
        <v>27</v>
      </c>
      <c r="K45" s="433">
        <f>IF(I45="mg/L",H45,IF(I45="mol/L",H45*G44*1000,IF(I45="log-mol/L",(10^(H45))*G44*1000,NA())))</f>
        <v>437.57006543984176</v>
      </c>
      <c r="L45" s="178">
        <f t="shared" si="1"/>
        <v>2.6410476038670341</v>
      </c>
      <c r="M45" s="433">
        <f>IF(I45="mol/L",H45,IF(I45="log-mol/L",10^H45,K45/(1000*G44)))</f>
        <v>8.5113803820237646E-4</v>
      </c>
      <c r="N45" s="178">
        <f t="shared" si="3"/>
        <v>-3.07</v>
      </c>
      <c r="O45" s="58">
        <v>25</v>
      </c>
      <c r="P45" s="30" t="s">
        <v>520</v>
      </c>
      <c r="Q45" s="100">
        <f>VLOOKUP(P45,References!$B$7:$F$252,5,FALSE)</f>
        <v>14</v>
      </c>
    </row>
    <row r="46" spans="1:17" x14ac:dyDescent="0.2">
      <c r="A46" s="868"/>
      <c r="B46" s="869"/>
      <c r="C46" s="832"/>
      <c r="D46" s="832"/>
      <c r="E46" s="149" t="s">
        <v>96</v>
      </c>
      <c r="F46" s="58" t="s">
        <v>97</v>
      </c>
      <c r="G46" s="58">
        <v>515.1</v>
      </c>
      <c r="H46" s="180">
        <v>-3.07</v>
      </c>
      <c r="I46" s="58" t="s">
        <v>521</v>
      </c>
      <c r="J46" s="58" t="s">
        <v>519</v>
      </c>
      <c r="K46" s="433">
        <f>IF(I46="mg/L",H46,IF(I46="mol/L",H46*G45*1000,IF(I46="log-mol/L",(10^(H46))*G45*1000,NA())))</f>
        <v>437.57006543984176</v>
      </c>
      <c r="L46" s="178">
        <f t="shared" si="1"/>
        <v>2.6410476038670341</v>
      </c>
      <c r="M46" s="433">
        <f>IF(I46="mol/L",H46,IF(I46="log-mol/L",10^H46,K46/(1000*G45)))</f>
        <v>8.5113803820237646E-4</v>
      </c>
      <c r="N46" s="178">
        <f t="shared" si="3"/>
        <v>-3.07</v>
      </c>
      <c r="O46" s="58">
        <v>25</v>
      </c>
      <c r="P46" s="30" t="s">
        <v>520</v>
      </c>
      <c r="Q46" s="100">
        <f>VLOOKUP(P46,References!$B$7:$F$252,5,FALSE)</f>
        <v>14</v>
      </c>
    </row>
    <row r="47" spans="1:17" x14ac:dyDescent="0.2">
      <c r="A47" s="868"/>
      <c r="B47" s="869"/>
      <c r="C47" s="832"/>
      <c r="D47" s="832"/>
      <c r="E47" s="149" t="s">
        <v>96</v>
      </c>
      <c r="F47" s="58" t="s">
        <v>97</v>
      </c>
      <c r="G47" s="58">
        <v>515.1</v>
      </c>
      <c r="H47" s="378">
        <v>2.2100000000000002E-3</v>
      </c>
      <c r="I47" s="58" t="s">
        <v>509</v>
      </c>
      <c r="J47" s="58" t="s">
        <v>27</v>
      </c>
      <c r="K47" s="433">
        <f t="shared" ref="K47:K49" si="19">IF(I47="mg/L",H47,IF(I47="mol/L",H47*G46*1000,IF(I47="log-mol/L",(10^(H47))*G46*1000,NA())))</f>
        <v>1138.3710000000001</v>
      </c>
      <c r="L47" s="178">
        <f t="shared" ref="L47:L49" si="20">IF(I47="log-mg/L",H47,LOG(K47))</f>
        <v>3.0562838235656895</v>
      </c>
      <c r="M47" s="433">
        <f t="shared" ref="M47:M49" si="21">IF(I47="mol/L",H47,IF(I47="log-mol/L",10^H47,K47/(1000*G46)))</f>
        <v>2.2100000000000002E-3</v>
      </c>
      <c r="N47" s="178">
        <f t="shared" ref="N47:N49" si="22">IF(I47="log-mol/L",H47,LOG(M47))</f>
        <v>-2.6556077263148894</v>
      </c>
      <c r="O47" s="58" t="s">
        <v>33</v>
      </c>
      <c r="P47" s="30" t="s">
        <v>642</v>
      </c>
      <c r="Q47" s="100">
        <f>VLOOKUP(P47,References!$B$7:$F$252,5,FALSE)</f>
        <v>124</v>
      </c>
    </row>
    <row r="48" spans="1:17" x14ac:dyDescent="0.2">
      <c r="A48" s="868"/>
      <c r="B48" s="869"/>
      <c r="C48" s="832"/>
      <c r="D48" s="832"/>
      <c r="E48" s="149" t="s">
        <v>96</v>
      </c>
      <c r="F48" s="58" t="s">
        <v>97</v>
      </c>
      <c r="G48" s="58">
        <v>515.1</v>
      </c>
      <c r="H48" s="378">
        <v>2.0999999999999999E-3</v>
      </c>
      <c r="I48" s="58" t="s">
        <v>509</v>
      </c>
      <c r="J48" s="58" t="s">
        <v>27</v>
      </c>
      <c r="K48" s="433">
        <f t="shared" si="19"/>
        <v>1081.71</v>
      </c>
      <c r="L48" s="178">
        <f t="shared" si="20"/>
        <v>3.0341108446144984</v>
      </c>
      <c r="M48" s="433">
        <f t="shared" si="21"/>
        <v>2.0999999999999999E-3</v>
      </c>
      <c r="N48" s="178">
        <f t="shared" si="22"/>
        <v>-2.6777807052660809</v>
      </c>
      <c r="O48" s="58" t="s">
        <v>33</v>
      </c>
      <c r="P48" s="30" t="s">
        <v>642</v>
      </c>
      <c r="Q48" s="100">
        <f>VLOOKUP(P48,References!$B$7:$F$252,5,FALSE)</f>
        <v>124</v>
      </c>
    </row>
    <row r="49" spans="1:19" x14ac:dyDescent="0.2">
      <c r="A49" s="879"/>
      <c r="B49" s="851"/>
      <c r="C49" s="834"/>
      <c r="D49" s="834"/>
      <c r="E49" s="182" t="s">
        <v>96</v>
      </c>
      <c r="F49" s="59" t="s">
        <v>97</v>
      </c>
      <c r="G49" s="59">
        <v>515.1</v>
      </c>
      <c r="H49" s="593">
        <v>2.0999999999999999E-3</v>
      </c>
      <c r="I49" s="59" t="s">
        <v>509</v>
      </c>
      <c r="J49" s="59" t="s">
        <v>27</v>
      </c>
      <c r="K49" s="469">
        <f t="shared" si="19"/>
        <v>1081.71</v>
      </c>
      <c r="L49" s="183">
        <f t="shared" si="20"/>
        <v>3.0341108446144984</v>
      </c>
      <c r="M49" s="469">
        <f t="shared" si="21"/>
        <v>2.0999999999999999E-3</v>
      </c>
      <c r="N49" s="183">
        <f t="shared" si="22"/>
        <v>-2.6777807052660809</v>
      </c>
      <c r="O49" s="59" t="s">
        <v>33</v>
      </c>
      <c r="P49" s="37" t="s">
        <v>642</v>
      </c>
      <c r="Q49" s="100">
        <f>VLOOKUP(P49,References!$B$7:$F$252,5,FALSE)</f>
        <v>124</v>
      </c>
    </row>
    <row r="50" spans="1:19" x14ac:dyDescent="0.2">
      <c r="A50" s="157" t="s">
        <v>106</v>
      </c>
      <c r="B50" s="152" t="s">
        <v>107</v>
      </c>
      <c r="C50" s="153">
        <v>564.1</v>
      </c>
      <c r="D50" s="239" t="s">
        <v>108</v>
      </c>
      <c r="E50" s="182" t="s">
        <v>107</v>
      </c>
      <c r="F50" s="59" t="s">
        <v>108</v>
      </c>
      <c r="G50" s="59">
        <v>564.1</v>
      </c>
      <c r="H50" s="183">
        <v>-3.55</v>
      </c>
      <c r="I50" s="59" t="s">
        <v>521</v>
      </c>
      <c r="J50" s="59" t="s">
        <v>519</v>
      </c>
      <c r="K50" s="469">
        <f>IF(I50="mg/L",H50,IF(I50="mol/L",H50*G50*1000,IF(I50="log-mol/L",(10^(H50))*G50*1000,NA())))</f>
        <v>158.98498115262788</v>
      </c>
      <c r="L50" s="183">
        <f t="shared" si="1"/>
        <v>2.2013560997253938</v>
      </c>
      <c r="M50" s="469">
        <f>IF(I50="mol/L",H50,IF(I50="log-mol/L",10^H50,K50/(1000*G50)))</f>
        <v>2.8183829312644545E-4</v>
      </c>
      <c r="N50" s="183">
        <f t="shared" si="3"/>
        <v>-3.55</v>
      </c>
      <c r="O50" s="59">
        <v>25</v>
      </c>
      <c r="P50" s="37" t="s">
        <v>520</v>
      </c>
      <c r="Q50" s="124">
        <f>VLOOKUP(P50,References!$B$7:$F$252,5,FALSE)</f>
        <v>14</v>
      </c>
    </row>
    <row r="51" spans="1:19" x14ac:dyDescent="0.2">
      <c r="A51" s="186" t="s">
        <v>117</v>
      </c>
      <c r="B51" s="149" t="s">
        <v>118</v>
      </c>
      <c r="C51" s="145">
        <f>C50+50</f>
        <v>614.1</v>
      </c>
      <c r="D51" s="239" t="s">
        <v>119</v>
      </c>
      <c r="E51" s="182" t="s">
        <v>118</v>
      </c>
      <c r="F51" s="59" t="s">
        <v>119</v>
      </c>
      <c r="G51" s="59">
        <f>G50+50</f>
        <v>614.1</v>
      </c>
      <c r="H51" s="183">
        <v>-4.03</v>
      </c>
      <c r="I51" s="59" t="s">
        <v>521</v>
      </c>
      <c r="J51" s="59" t="s">
        <v>519</v>
      </c>
      <c r="K51" s="469">
        <f>IF(I51="mg/L",H51,IF(I51="mol/L",H51*G51*1000,IF(I51="log-mol/L",(10^(H51))*G51*1000,NA())))</f>
        <v>57.311146611943187</v>
      </c>
      <c r="L51" s="183">
        <f t="shared" si="1"/>
        <v>1.7582390973821678</v>
      </c>
      <c r="M51" s="469">
        <f>IF(I51="mol/L",H51,IF(I51="log-mol/L",10^H51,K51/(1000*G51)))</f>
        <v>9.3325430079699046E-5</v>
      </c>
      <c r="N51" s="183">
        <f t="shared" si="3"/>
        <v>-4.03</v>
      </c>
      <c r="O51" s="59">
        <v>25</v>
      </c>
      <c r="P51" s="37" t="s">
        <v>520</v>
      </c>
      <c r="Q51" s="124">
        <f>VLOOKUP(P51,References!$B$7:$F$252,5,FALSE)</f>
        <v>14</v>
      </c>
    </row>
    <row r="52" spans="1:19" x14ac:dyDescent="0.2">
      <c r="A52" s="157" t="s">
        <v>126</v>
      </c>
      <c r="B52" s="152" t="s">
        <v>127</v>
      </c>
      <c r="C52" s="153">
        <v>664.1</v>
      </c>
      <c r="D52" s="239" t="s">
        <v>128</v>
      </c>
      <c r="E52" s="182" t="s">
        <v>127</v>
      </c>
      <c r="F52" s="59" t="s">
        <v>128</v>
      </c>
      <c r="G52" s="59">
        <v>664.1</v>
      </c>
      <c r="H52" s="183">
        <v>-4.5199999999999996</v>
      </c>
      <c r="I52" s="59" t="s">
        <v>521</v>
      </c>
      <c r="J52" s="59" t="s">
        <v>519</v>
      </c>
      <c r="K52" s="469">
        <f>IF(I52="mg/L",H52,IF(I52="mol/L",H52*G52*1000,IF(I52="log-mol/L",(10^(H52))*G52*1000,NA())))</f>
        <v>20.0554993751898</v>
      </c>
      <c r="L52" s="183">
        <f t="shared" si="1"/>
        <v>1.3022334802388442</v>
      </c>
      <c r="M52" s="469">
        <f>IF(I52="mol/L",H52,IF(I52="log-mol/L",10^H52,K52/(1000*G52)))</f>
        <v>3.0199517204020178E-5</v>
      </c>
      <c r="N52" s="183">
        <f t="shared" si="3"/>
        <v>-4.5199999999999996</v>
      </c>
      <c r="O52" s="59">
        <v>25</v>
      </c>
      <c r="P52" s="37" t="s">
        <v>520</v>
      </c>
      <c r="Q52" s="124">
        <f>VLOOKUP(P52,References!$B$7:$F$252,5,FALSE)</f>
        <v>14</v>
      </c>
    </row>
    <row r="53" spans="1:19" ht="17" thickBot="1" x14ac:dyDescent="0.25">
      <c r="A53" s="186" t="s">
        <v>134</v>
      </c>
      <c r="B53" s="149" t="s">
        <v>135</v>
      </c>
      <c r="C53" s="145">
        <v>714.1</v>
      </c>
      <c r="D53" s="145" t="s">
        <v>136</v>
      </c>
      <c r="E53" s="149" t="s">
        <v>135</v>
      </c>
      <c r="F53" s="58" t="s">
        <v>136</v>
      </c>
      <c r="G53" s="58">
        <v>714.1</v>
      </c>
      <c r="H53" s="178">
        <v>-5</v>
      </c>
      <c r="I53" s="58" t="s">
        <v>521</v>
      </c>
      <c r="J53" s="58" t="s">
        <v>519</v>
      </c>
      <c r="K53" s="433">
        <f>IF(I53="mg/L",H53,IF(I53="mol/L",H53*G53*1000,IF(I53="log-mol/L",(10^(H53))*G53*1000,"")))</f>
        <v>7.1410000000000009</v>
      </c>
      <c r="L53" s="178">
        <f t="shared" si="1"/>
        <v>0.85375903307476886</v>
      </c>
      <c r="M53" s="433">
        <f>IF(I53="mol/L",H53,IF(I53="log-mol/L",10^H53,K53/(1000*G53)))</f>
        <v>1.0000000000000001E-5</v>
      </c>
      <c r="N53" s="178">
        <f t="shared" si="3"/>
        <v>-5</v>
      </c>
      <c r="O53" s="58">
        <v>25</v>
      </c>
      <c r="P53" s="30" t="s">
        <v>520</v>
      </c>
      <c r="Q53" s="100">
        <f>VLOOKUP(P53,References!$B$7:$F$252,5,FALSE)</f>
        <v>14</v>
      </c>
    </row>
    <row r="54" spans="1:19" ht="17" thickBot="1" x14ac:dyDescent="0.25">
      <c r="A54" s="78" t="s">
        <v>141</v>
      </c>
      <c r="B54" s="158" t="s">
        <v>142</v>
      </c>
      <c r="C54" s="82"/>
      <c r="D54" s="82"/>
      <c r="E54" s="79"/>
      <c r="F54" s="79"/>
      <c r="G54" s="79"/>
      <c r="H54" s="79"/>
      <c r="I54" s="79"/>
      <c r="J54" s="79"/>
      <c r="K54" s="594"/>
      <c r="L54" s="79"/>
      <c r="M54" s="594"/>
      <c r="N54" s="79"/>
      <c r="O54" s="79"/>
      <c r="P54" s="128"/>
      <c r="Q54" s="80"/>
    </row>
    <row r="55" spans="1:19" x14ac:dyDescent="0.2">
      <c r="A55" s="595" t="s">
        <v>143</v>
      </c>
      <c r="B55" s="296" t="s">
        <v>144</v>
      </c>
      <c r="C55" s="466">
        <v>150.07</v>
      </c>
      <c r="D55" s="296" t="s">
        <v>145</v>
      </c>
      <c r="E55" s="296" t="s">
        <v>144</v>
      </c>
      <c r="F55" s="296" t="s">
        <v>145</v>
      </c>
      <c r="G55" s="466">
        <v>150.07</v>
      </c>
      <c r="H55" s="422"/>
      <c r="I55" s="422"/>
      <c r="J55" s="422"/>
      <c r="K55" s="596"/>
      <c r="L55" s="423"/>
      <c r="M55" s="423"/>
      <c r="N55" s="423"/>
      <c r="O55" s="596"/>
      <c r="P55" s="423"/>
      <c r="Q55" s="428"/>
      <c r="R55" s="194"/>
      <c r="S55" s="194"/>
    </row>
    <row r="56" spans="1:19" x14ac:dyDescent="0.2">
      <c r="A56" s="143" t="s">
        <v>151</v>
      </c>
      <c r="B56" s="131" t="s">
        <v>152</v>
      </c>
      <c r="C56" s="153">
        <v>200.08</v>
      </c>
      <c r="D56" s="131" t="s">
        <v>153</v>
      </c>
      <c r="E56" s="131" t="s">
        <v>152</v>
      </c>
      <c r="F56" s="131" t="s">
        <v>153</v>
      </c>
      <c r="G56" s="153">
        <v>200.08</v>
      </c>
      <c r="H56" s="142"/>
      <c r="I56" s="142"/>
      <c r="J56" s="142"/>
      <c r="K56" s="525"/>
      <c r="L56" s="424"/>
      <c r="M56" s="424"/>
      <c r="N56" s="424"/>
      <c r="O56" s="525"/>
      <c r="P56" s="424"/>
      <c r="Q56" s="429"/>
      <c r="R56" s="194"/>
      <c r="S56" s="194"/>
    </row>
    <row r="57" spans="1:19" x14ac:dyDescent="0.2">
      <c r="A57" s="143" t="s">
        <v>157</v>
      </c>
      <c r="B57" s="131" t="s">
        <v>158</v>
      </c>
      <c r="C57" s="153">
        <v>250.09</v>
      </c>
      <c r="D57" s="131" t="s">
        <v>159</v>
      </c>
      <c r="E57" s="131" t="s">
        <v>158</v>
      </c>
      <c r="F57" s="131" t="s">
        <v>159</v>
      </c>
      <c r="G57" s="153">
        <v>250.09</v>
      </c>
      <c r="H57" s="142"/>
      <c r="I57" s="142"/>
      <c r="J57" s="142"/>
      <c r="K57" s="525"/>
      <c r="L57" s="424"/>
      <c r="M57" s="424"/>
      <c r="N57" s="424"/>
      <c r="O57" s="525"/>
      <c r="P57" s="424"/>
      <c r="Q57" s="429"/>
      <c r="R57" s="194"/>
      <c r="S57" s="194"/>
    </row>
    <row r="58" spans="1:19" x14ac:dyDescent="0.2">
      <c r="A58" s="246" t="s">
        <v>163</v>
      </c>
      <c r="B58" s="182" t="s">
        <v>164</v>
      </c>
      <c r="C58" s="239">
        <v>300.10000000000002</v>
      </c>
      <c r="D58" s="239" t="s">
        <v>165</v>
      </c>
      <c r="E58" s="182" t="s">
        <v>164</v>
      </c>
      <c r="F58" s="59" t="s">
        <v>165</v>
      </c>
      <c r="G58" s="59">
        <v>300.10000000000002</v>
      </c>
      <c r="H58" s="59">
        <v>2.1999999999999999E-2</v>
      </c>
      <c r="I58" s="59" t="s">
        <v>509</v>
      </c>
      <c r="J58" s="59" t="s">
        <v>27</v>
      </c>
      <c r="K58" s="469">
        <f>IF(I58="mg/L",H58,IF(I58="mol/L",H58*G58*1000,IF(I58="log-mol/L",(10^(H58))*G58*1000,"")))</f>
        <v>6602.2</v>
      </c>
      <c r="L58" s="183">
        <f>IF(I58="log-mg/L",H58,LOG(K58))</f>
        <v>3.819688676247059</v>
      </c>
      <c r="M58" s="469">
        <f>IF(I58="mol/L",H58,IF(I58="log-mol/L",10^H58,K58/(1000*G58)))</f>
        <v>2.1999999999999999E-2</v>
      </c>
      <c r="N58" s="183">
        <f>IF(I58="log-mol/L",H58,LOG(M58))</f>
        <v>-1.6575773191777938</v>
      </c>
      <c r="O58" s="59">
        <v>32</v>
      </c>
      <c r="P58" s="37" t="s">
        <v>644</v>
      </c>
      <c r="Q58" s="122">
        <f>VLOOKUP(P58,References!$B$7:$F$252,5,FALSE)</f>
        <v>117</v>
      </c>
    </row>
    <row r="59" spans="1:19" x14ac:dyDescent="0.2">
      <c r="A59" s="246" t="s">
        <v>170</v>
      </c>
      <c r="B59" s="182" t="s">
        <v>171</v>
      </c>
      <c r="C59" s="239">
        <v>350.1</v>
      </c>
      <c r="D59" s="239" t="s">
        <v>172</v>
      </c>
      <c r="E59" s="182" t="s">
        <v>171</v>
      </c>
      <c r="F59" s="59" t="s">
        <v>172</v>
      </c>
      <c r="G59" s="59">
        <v>350.1</v>
      </c>
      <c r="H59" s="59"/>
      <c r="I59" s="59"/>
      <c r="J59" s="59"/>
      <c r="K59" s="469" t="str">
        <f>IF(I59="mg/L",H59,IF(I59="mol/L",H59*G59*1000,IF(I59="log-mol/L",(10^(H59))*G59*1000,"")))</f>
        <v/>
      </c>
      <c r="L59" s="59"/>
      <c r="M59" s="469"/>
      <c r="N59" s="59"/>
      <c r="O59" s="59"/>
      <c r="P59" s="37"/>
      <c r="Q59" s="122"/>
    </row>
    <row r="60" spans="1:19" x14ac:dyDescent="0.2">
      <c r="A60" s="868" t="s">
        <v>176</v>
      </c>
      <c r="B60" s="869" t="s">
        <v>177</v>
      </c>
      <c r="C60" s="832">
        <v>400.1</v>
      </c>
      <c r="D60" s="832" t="s">
        <v>178</v>
      </c>
      <c r="E60" s="149" t="s">
        <v>177</v>
      </c>
      <c r="F60" s="58" t="s">
        <v>178</v>
      </c>
      <c r="G60" s="58">
        <v>400.1</v>
      </c>
      <c r="H60" s="178">
        <v>-1.74</v>
      </c>
      <c r="I60" s="58" t="s">
        <v>521</v>
      </c>
      <c r="J60" s="58" t="s">
        <v>519</v>
      </c>
      <c r="K60" s="433">
        <f>IF(I60="mg/L",H60,IF(I60="mol/L",H60*G60*1000,IF(I60="log-mol/L",(10^(H60))*G60*1000,"")))</f>
        <v>7280.6231352985424</v>
      </c>
      <c r="L60" s="178">
        <f>IF(I60="log-mg/L",H60,LOG(K60))</f>
        <v>3.8621685513789972</v>
      </c>
      <c r="M60" s="433">
        <f>IF(I60="mol/L",H60,IF(I60="log-mol/L",10^H60,K60/(1000*G60)))</f>
        <v>1.8197008586099829E-2</v>
      </c>
      <c r="N60" s="178">
        <f>IF(I60="log-mol/L",H60,LOG(M60))</f>
        <v>-1.74</v>
      </c>
      <c r="O60" s="58">
        <v>25</v>
      </c>
      <c r="P60" s="30" t="s">
        <v>520</v>
      </c>
      <c r="Q60" s="100">
        <f>VLOOKUP(P60,References!$B$7:$F$252,5,FALSE)</f>
        <v>14</v>
      </c>
    </row>
    <row r="61" spans="1:19" x14ac:dyDescent="0.2">
      <c r="A61" s="879"/>
      <c r="B61" s="851"/>
      <c r="C61" s="834"/>
      <c r="D61" s="834"/>
      <c r="E61" s="182" t="s">
        <v>177</v>
      </c>
      <c r="F61" s="59" t="s">
        <v>178</v>
      </c>
      <c r="G61" s="59">
        <v>400.1</v>
      </c>
      <c r="H61" s="325">
        <v>1.2E-2</v>
      </c>
      <c r="I61" s="59" t="s">
        <v>509</v>
      </c>
      <c r="J61" s="59" t="s">
        <v>27</v>
      </c>
      <c r="K61" s="469">
        <f>IF(I61="mg/L",H61,IF(I61="mol/L",H61*G61*1000,IF(I61="log-mol/L",(10^(H61))*G61*1000,"")))</f>
        <v>4801.2000000000007</v>
      </c>
      <c r="L61" s="183">
        <f>IF(I61="log-mg/L",H61,LOG(K61))</f>
        <v>3.6813497974266221</v>
      </c>
      <c r="M61" s="469">
        <f>IF(I61="mol/L",H61,IF(I61="log-mol/L",10^H61,K61/(1000*G61)))</f>
        <v>1.2E-2</v>
      </c>
      <c r="N61" s="183">
        <f>IF(I61="log-mol/L",H61,LOG(M61))</f>
        <v>-1.9208187539523751</v>
      </c>
      <c r="O61" s="59">
        <v>32</v>
      </c>
      <c r="P61" s="37" t="s">
        <v>644</v>
      </c>
      <c r="Q61" s="122">
        <f>VLOOKUP(P61,References!$B$7:$F$252,5,FALSE)</f>
        <v>117</v>
      </c>
    </row>
    <row r="62" spans="1:19" x14ac:dyDescent="0.2">
      <c r="A62" s="246" t="s">
        <v>182</v>
      </c>
      <c r="B62" s="182" t="s">
        <v>183</v>
      </c>
      <c r="C62" s="239">
        <v>450.1</v>
      </c>
      <c r="D62" s="239" t="s">
        <v>184</v>
      </c>
      <c r="E62" s="182" t="s">
        <v>183</v>
      </c>
      <c r="F62" s="59" t="s">
        <v>184</v>
      </c>
      <c r="G62" s="59">
        <v>450.1</v>
      </c>
      <c r="H62" s="183"/>
      <c r="I62" s="59"/>
      <c r="J62" s="59"/>
      <c r="K62" s="469" t="str">
        <f>IF(I62="mg/L",H62,IF(I62="mol/L",H62*G62*1000,IF(I62="log-mol/L",(10^(H62))*G62*1000,"")))</f>
        <v/>
      </c>
      <c r="L62" s="183"/>
      <c r="M62" s="469"/>
      <c r="N62" s="183"/>
      <c r="O62" s="59"/>
      <c r="P62" s="37"/>
      <c r="Q62" s="122"/>
    </row>
    <row r="63" spans="1:19" x14ac:dyDescent="0.2">
      <c r="A63" s="868" t="s">
        <v>188</v>
      </c>
      <c r="B63" s="869" t="s">
        <v>189</v>
      </c>
      <c r="C63" s="832">
        <v>500.1</v>
      </c>
      <c r="D63" s="832" t="s">
        <v>190</v>
      </c>
      <c r="E63" s="149" t="s">
        <v>189</v>
      </c>
      <c r="F63" s="58" t="s">
        <v>190</v>
      </c>
      <c r="G63" s="58">
        <v>500.1</v>
      </c>
      <c r="H63" s="134">
        <v>4573</v>
      </c>
      <c r="I63" s="58" t="s">
        <v>507</v>
      </c>
      <c r="J63" s="58" t="s">
        <v>33</v>
      </c>
      <c r="K63" s="433">
        <f>IF(I63="mg/L",H63,IF(I63="mol/L",H63*G66*1000,IF(I63="log-mol/L",(10^(H63))*G66*1000,"")))</f>
        <v>4573</v>
      </c>
      <c r="L63" s="178">
        <f>IF(I63="log-mg/L",H63,LOG(K63))</f>
        <v>3.6602012013806817</v>
      </c>
      <c r="M63" s="433">
        <f>IF(I63="mol/L",H63,IF(I63="log-mol/L",10^H63,K63/(1000*G66)))</f>
        <v>9.144171165766846E-3</v>
      </c>
      <c r="N63" s="178">
        <f>IF(I63="log-mol/L",H63,LOG(M63))</f>
        <v>-2.0388556531669857</v>
      </c>
      <c r="O63" s="58" t="s">
        <v>33</v>
      </c>
      <c r="P63" s="30" t="s">
        <v>641</v>
      </c>
      <c r="Q63" s="100">
        <f>VLOOKUP(P63,References!$B$7:$F$252,5,FALSE)</f>
        <v>140</v>
      </c>
    </row>
    <row r="64" spans="1:19" x14ac:dyDescent="0.2">
      <c r="A64" s="868"/>
      <c r="B64" s="869"/>
      <c r="C64" s="832"/>
      <c r="D64" s="832"/>
      <c r="E64" s="149" t="s">
        <v>189</v>
      </c>
      <c r="F64" s="58" t="s">
        <v>190</v>
      </c>
      <c r="G64" s="58">
        <v>500.1</v>
      </c>
      <c r="H64" s="178">
        <v>-2.97</v>
      </c>
      <c r="I64" s="58" t="s">
        <v>521</v>
      </c>
      <c r="J64" s="58" t="s">
        <v>27</v>
      </c>
      <c r="K64" s="433">
        <f>IF(I64="mg/L",H64,IF(I64="mol/L",H64*G63*1000,IF(I64="log-mol/L",(10^(H64))*G63*1000,"")))</f>
        <v>535.8668045493265</v>
      </c>
      <c r="L64" s="178">
        <f>IF(I64="log-mg/L",H64,LOG(K64))</f>
        <v>2.7290568545476672</v>
      </c>
      <c r="M64" s="433">
        <f>IF(I64="mol/L",H64,IF(I64="log-mol/L",10^H64,K64/(1000*G63)))</f>
        <v>1.0715193052376053E-3</v>
      </c>
      <c r="N64" s="178">
        <f>IF(I64="log-mol/L",H64,LOG(M64))</f>
        <v>-2.97</v>
      </c>
      <c r="O64" s="58">
        <v>25</v>
      </c>
      <c r="P64" s="30" t="s">
        <v>520</v>
      </c>
      <c r="Q64" s="100">
        <f>VLOOKUP(P64,References!$B$7:$F$252,5,FALSE)</f>
        <v>14</v>
      </c>
    </row>
    <row r="65" spans="1:17" x14ac:dyDescent="0.2">
      <c r="A65" s="868"/>
      <c r="B65" s="869"/>
      <c r="C65" s="832"/>
      <c r="D65" s="832"/>
      <c r="E65" s="149" t="s">
        <v>189</v>
      </c>
      <c r="F65" s="58" t="s">
        <v>190</v>
      </c>
      <c r="G65" s="58">
        <v>500.1</v>
      </c>
      <c r="H65" s="180">
        <v>-2.62</v>
      </c>
      <c r="I65" s="58" t="s">
        <v>521</v>
      </c>
      <c r="J65" s="58" t="s">
        <v>519</v>
      </c>
      <c r="K65" s="433">
        <f>IF(I65="mg/L",H65,IF(I65="mol/L",H65*G64*1000,IF(I65="log-mol/L",(10^(H65))*G64*1000,"")))</f>
        <v>1199.6563428016461</v>
      </c>
      <c r="L65" s="178">
        <f>IF(I65="log-mg/L",H65,LOG(K65))</f>
        <v>3.0790568545476673</v>
      </c>
      <c r="M65" s="433">
        <f>IF(I65="mol/L",H65,IF(I65="log-mol/L",10^H65,K65/(1000*G64)))</f>
        <v>2.3988329190194886E-3</v>
      </c>
      <c r="N65" s="178">
        <f>IF(I65="log-mol/L",H65,LOG(M65))</f>
        <v>-2.62</v>
      </c>
      <c r="O65" s="58">
        <v>25</v>
      </c>
      <c r="P65" s="30" t="s">
        <v>520</v>
      </c>
      <c r="Q65" s="100">
        <f>VLOOKUP(P65,References!$B$7:$F$252,5,FALSE)</f>
        <v>14</v>
      </c>
    </row>
    <row r="66" spans="1:17" x14ac:dyDescent="0.2">
      <c r="A66" s="879"/>
      <c r="B66" s="851"/>
      <c r="C66" s="834"/>
      <c r="D66" s="834"/>
      <c r="E66" s="182" t="s">
        <v>189</v>
      </c>
      <c r="F66" s="59" t="s">
        <v>190</v>
      </c>
      <c r="G66" s="59">
        <v>500.1</v>
      </c>
      <c r="H66" s="325">
        <v>7.0000000000000001E-3</v>
      </c>
      <c r="I66" s="59" t="s">
        <v>509</v>
      </c>
      <c r="J66" s="59" t="s">
        <v>27</v>
      </c>
      <c r="K66" s="469">
        <f>IF(I66="mg/L",H66,IF(I66="mol/L",H66*G64*1000,IF(I66="log-mol/L",(10^(H66))*G64*1000,"")))</f>
        <v>3500.7000000000003</v>
      </c>
      <c r="L66" s="183">
        <f>IF(I66="log-mg/L",H66,LOG(K66))</f>
        <v>3.5441548945619248</v>
      </c>
      <c r="M66" s="469">
        <f>IF(I66="mol/L",H66,IF(I66="log-mol/L",10^H66,K66/(1000*G64)))</f>
        <v>7.0000000000000001E-3</v>
      </c>
      <c r="N66" s="183">
        <f>IF(I66="log-mol/L",H66,LOG(M66))</f>
        <v>-2.1549019599857431</v>
      </c>
      <c r="O66" s="59">
        <v>32</v>
      </c>
      <c r="P66" s="37" t="s">
        <v>644</v>
      </c>
      <c r="Q66" s="122">
        <f>VLOOKUP(P66,References!$B$7:$F$252,5,FALSE)</f>
        <v>117</v>
      </c>
    </row>
    <row r="67" spans="1:17" x14ac:dyDescent="0.2">
      <c r="A67" s="246" t="s">
        <v>195</v>
      </c>
      <c r="B67" s="182" t="s">
        <v>196</v>
      </c>
      <c r="C67" s="239">
        <v>550.1</v>
      </c>
      <c r="D67" s="239" t="s">
        <v>197</v>
      </c>
      <c r="E67" s="182" t="s">
        <v>196</v>
      </c>
      <c r="F67" s="59" t="s">
        <v>197</v>
      </c>
      <c r="G67" s="59">
        <v>550.1</v>
      </c>
      <c r="H67" s="59"/>
      <c r="I67" s="59"/>
      <c r="J67" s="59"/>
      <c r="K67" s="469" t="str">
        <f>IF(I67="mg/L",H67,IF(I67="mol/L",H67*G67*1000,IF(I67="log-mol/L",(10^(H67))*G67*1000,"")))</f>
        <v/>
      </c>
      <c r="L67" s="59"/>
      <c r="M67" s="469"/>
      <c r="N67" s="59"/>
      <c r="O67" s="59"/>
      <c r="P67" s="37"/>
      <c r="Q67" s="122"/>
    </row>
    <row r="68" spans="1:17" x14ac:dyDescent="0.2">
      <c r="A68" s="157" t="s">
        <v>201</v>
      </c>
      <c r="B68" s="152" t="s">
        <v>202</v>
      </c>
      <c r="C68" s="153">
        <v>600.1</v>
      </c>
      <c r="D68" s="153" t="s">
        <v>203</v>
      </c>
      <c r="E68" s="152" t="s">
        <v>202</v>
      </c>
      <c r="F68" s="131" t="s">
        <v>203</v>
      </c>
      <c r="G68" s="131">
        <v>600.1</v>
      </c>
      <c r="H68" s="131"/>
      <c r="I68" s="131"/>
      <c r="J68" s="131"/>
      <c r="K68" s="525" t="str">
        <f>IF(I68="mg/L",H68,IF(I68="mol/L",H68*G68*1000,IF(I68="log-mol/L",(10^(H68))*G68*1000,"")))</f>
        <v/>
      </c>
      <c r="L68" s="131"/>
      <c r="M68" s="525"/>
      <c r="N68" s="131"/>
      <c r="O68" s="131"/>
      <c r="P68" s="42"/>
      <c r="Q68" s="124"/>
    </row>
    <row r="69" spans="1:17" ht="17" thickBot="1" x14ac:dyDescent="0.25">
      <c r="A69" s="192" t="s">
        <v>207</v>
      </c>
      <c r="B69" s="146" t="s">
        <v>208</v>
      </c>
      <c r="C69" s="146">
        <v>700.2</v>
      </c>
      <c r="D69" s="146" t="s">
        <v>209</v>
      </c>
      <c r="E69" s="138" t="s">
        <v>208</v>
      </c>
      <c r="F69" s="138" t="s">
        <v>209</v>
      </c>
      <c r="G69" s="146">
        <v>700.2</v>
      </c>
      <c r="H69" s="146"/>
      <c r="I69" s="146"/>
      <c r="J69" s="146"/>
      <c r="K69" s="146"/>
      <c r="L69" s="284"/>
      <c r="M69" s="284"/>
      <c r="N69" s="284"/>
      <c r="O69" s="138"/>
      <c r="P69" s="597"/>
      <c r="Q69" s="101"/>
    </row>
    <row r="70" spans="1:17" ht="17" thickBot="1" x14ac:dyDescent="0.25">
      <c r="A70" s="78" t="s">
        <v>210</v>
      </c>
      <c r="B70" s="158" t="s">
        <v>211</v>
      </c>
      <c r="C70" s="82"/>
      <c r="D70" s="82"/>
      <c r="E70" s="79"/>
      <c r="F70" s="79"/>
      <c r="G70" s="79"/>
      <c r="H70" s="79"/>
      <c r="I70" s="79"/>
      <c r="J70" s="79"/>
      <c r="K70" s="594"/>
      <c r="L70" s="79"/>
      <c r="M70" s="594"/>
      <c r="N70" s="79"/>
      <c r="O70" s="79"/>
      <c r="P70" s="128"/>
      <c r="Q70" s="80"/>
    </row>
    <row r="71" spans="1:17" x14ac:dyDescent="0.2">
      <c r="A71" s="595" t="s">
        <v>212</v>
      </c>
      <c r="B71" s="296" t="s">
        <v>213</v>
      </c>
      <c r="C71" s="466">
        <v>178.1</v>
      </c>
      <c r="D71" s="296" t="s">
        <v>214</v>
      </c>
      <c r="E71" s="296" t="s">
        <v>213</v>
      </c>
      <c r="F71" s="296" t="s">
        <v>214</v>
      </c>
      <c r="G71" s="466">
        <v>178.1</v>
      </c>
      <c r="H71" s="296"/>
      <c r="I71" s="296"/>
      <c r="J71" s="296"/>
      <c r="K71" s="596"/>
      <c r="L71" s="296"/>
      <c r="M71" s="596"/>
      <c r="N71" s="296"/>
      <c r="O71" s="296"/>
      <c r="P71" s="297"/>
      <c r="Q71" s="173"/>
    </row>
    <row r="72" spans="1:17" x14ac:dyDescent="0.2">
      <c r="A72" s="585" t="s">
        <v>215</v>
      </c>
      <c r="B72" s="239" t="s">
        <v>216</v>
      </c>
      <c r="C72" s="239">
        <v>242.1</v>
      </c>
      <c r="D72" s="239" t="s">
        <v>217</v>
      </c>
      <c r="E72" s="239" t="s">
        <v>216</v>
      </c>
      <c r="F72" s="239" t="s">
        <v>217</v>
      </c>
      <c r="G72" s="239">
        <v>242.1</v>
      </c>
      <c r="H72" s="469"/>
      <c r="I72" s="469"/>
      <c r="J72" s="469"/>
      <c r="K72" s="469"/>
      <c r="L72" s="469"/>
      <c r="M72" s="469"/>
      <c r="N72" s="469"/>
      <c r="O72" s="195"/>
      <c r="P72" s="598"/>
      <c r="Q72" s="122"/>
    </row>
    <row r="73" spans="1:17" x14ac:dyDescent="0.2">
      <c r="A73" s="295" t="s">
        <v>221</v>
      </c>
      <c r="B73" s="131" t="s">
        <v>222</v>
      </c>
      <c r="C73" s="153">
        <v>278.10000000000002</v>
      </c>
      <c r="D73" s="131" t="s">
        <v>223</v>
      </c>
      <c r="E73" s="131" t="s">
        <v>222</v>
      </c>
      <c r="F73" s="131" t="s">
        <v>223</v>
      </c>
      <c r="G73" s="153">
        <v>278.10000000000002</v>
      </c>
      <c r="H73" s="525"/>
      <c r="I73" s="525"/>
      <c r="J73" s="525"/>
      <c r="K73" s="525"/>
      <c r="L73" s="525"/>
      <c r="M73" s="525"/>
      <c r="N73" s="525"/>
      <c r="O73" s="142"/>
      <c r="P73" s="599"/>
      <c r="Q73" s="122"/>
    </row>
    <row r="74" spans="1:17" x14ac:dyDescent="0.2">
      <c r="A74" s="186" t="s">
        <v>224</v>
      </c>
      <c r="B74" s="149" t="s">
        <v>225</v>
      </c>
      <c r="C74" s="133">
        <v>342.1</v>
      </c>
      <c r="D74" s="145" t="s">
        <v>226</v>
      </c>
      <c r="E74" s="182" t="s">
        <v>225</v>
      </c>
      <c r="F74" s="59" t="s">
        <v>226</v>
      </c>
      <c r="G74" s="183">
        <v>342.1</v>
      </c>
      <c r="H74" s="59"/>
      <c r="I74" s="59"/>
      <c r="J74" s="59"/>
      <c r="K74" s="469" t="str">
        <f>IF(I74="mg/L",H74,IF(I74="mol/L",H74*G74*1000,IF(I74="log-mol/L",(10^(H74))*G74*1000,"")))</f>
        <v/>
      </c>
      <c r="L74" s="59"/>
      <c r="M74" s="469"/>
      <c r="N74" s="59"/>
      <c r="O74" s="59"/>
      <c r="P74" s="37"/>
      <c r="Q74" s="122"/>
    </row>
    <row r="75" spans="1:17" x14ac:dyDescent="0.2">
      <c r="A75" s="584" t="s">
        <v>236</v>
      </c>
      <c r="B75" s="151" t="s">
        <v>237</v>
      </c>
      <c r="C75" s="141">
        <v>442.1</v>
      </c>
      <c r="D75" s="141" t="s">
        <v>238</v>
      </c>
      <c r="E75" s="153" t="s">
        <v>237</v>
      </c>
      <c r="F75" s="141" t="s">
        <v>238</v>
      </c>
      <c r="G75" s="141">
        <v>442.1</v>
      </c>
      <c r="H75" s="525"/>
      <c r="I75" s="525"/>
      <c r="J75" s="525"/>
      <c r="K75" s="525"/>
      <c r="L75" s="525"/>
      <c r="M75" s="525"/>
      <c r="N75" s="525"/>
      <c r="O75" s="131"/>
      <c r="P75" s="599"/>
      <c r="Q75" s="124"/>
    </row>
    <row r="76" spans="1:17" x14ac:dyDescent="0.2">
      <c r="A76" s="157" t="s">
        <v>230</v>
      </c>
      <c r="B76" s="152" t="s">
        <v>231</v>
      </c>
      <c r="C76" s="141">
        <v>378.1</v>
      </c>
      <c r="D76" s="153" t="s">
        <v>232</v>
      </c>
      <c r="E76" s="152" t="s">
        <v>231</v>
      </c>
      <c r="F76" s="131" t="s">
        <v>232</v>
      </c>
      <c r="G76" s="185">
        <v>378.1</v>
      </c>
      <c r="H76" s="131"/>
      <c r="I76" s="131"/>
      <c r="J76" s="131"/>
      <c r="K76" s="525" t="str">
        <f>IF(I76="mg/L",H76,IF(I76="mol/L",H76*G76*1000,IF(I76="log-mol/L",(10^(H76))*G76*1000,"")))</f>
        <v/>
      </c>
      <c r="L76" s="131"/>
      <c r="M76" s="525"/>
      <c r="N76" s="131"/>
      <c r="O76" s="131"/>
      <c r="P76" s="42"/>
      <c r="Q76" s="124"/>
    </row>
    <row r="77" spans="1:17" x14ac:dyDescent="0.2">
      <c r="A77" s="157" t="s">
        <v>242</v>
      </c>
      <c r="B77" s="152" t="s">
        <v>243</v>
      </c>
      <c r="C77" s="141">
        <v>477.1</v>
      </c>
      <c r="D77" s="153" t="s">
        <v>244</v>
      </c>
      <c r="E77" s="152" t="s">
        <v>243</v>
      </c>
      <c r="F77" s="153" t="s">
        <v>244</v>
      </c>
      <c r="G77" s="141">
        <v>477.1</v>
      </c>
      <c r="H77" s="328"/>
      <c r="I77" s="131"/>
      <c r="J77" s="131"/>
      <c r="K77" s="525"/>
      <c r="L77" s="185"/>
      <c r="M77" s="525"/>
      <c r="N77" s="185"/>
      <c r="O77" s="131"/>
      <c r="P77" s="599"/>
      <c r="Q77" s="124"/>
    </row>
    <row r="78" spans="1:17" x14ac:dyDescent="0.2">
      <c r="A78" s="207" t="s">
        <v>248</v>
      </c>
      <c r="B78" s="239" t="s">
        <v>249</v>
      </c>
      <c r="C78" s="294">
        <v>578.1</v>
      </c>
      <c r="D78" s="153" t="s">
        <v>250</v>
      </c>
      <c r="E78" s="239" t="s">
        <v>249</v>
      </c>
      <c r="F78" s="153" t="s">
        <v>250</v>
      </c>
      <c r="G78" s="294">
        <v>578.1</v>
      </c>
      <c r="H78" s="328"/>
      <c r="I78" s="131"/>
      <c r="J78" s="131"/>
      <c r="K78" s="525"/>
      <c r="L78" s="185"/>
      <c r="M78" s="525"/>
      <c r="N78" s="185"/>
      <c r="O78" s="131"/>
      <c r="P78" s="599"/>
      <c r="Q78" s="124"/>
    </row>
    <row r="79" spans="1:17" ht="17" thickBot="1" x14ac:dyDescent="0.25">
      <c r="A79" s="586" t="s">
        <v>252</v>
      </c>
      <c r="B79" s="145" t="s">
        <v>253</v>
      </c>
      <c r="C79" s="133">
        <v>678.1</v>
      </c>
      <c r="D79" s="145" t="s">
        <v>254</v>
      </c>
      <c r="E79" s="145" t="s">
        <v>253</v>
      </c>
      <c r="F79" s="145" t="s">
        <v>254</v>
      </c>
      <c r="G79" s="133">
        <v>678.1</v>
      </c>
      <c r="H79" s="354"/>
      <c r="I79" s="58"/>
      <c r="J79" s="58"/>
      <c r="K79" s="433"/>
      <c r="L79" s="178"/>
      <c r="M79" s="433"/>
      <c r="N79" s="178"/>
      <c r="O79" s="58"/>
      <c r="P79" s="600"/>
      <c r="Q79" s="100"/>
    </row>
    <row r="80" spans="1:17" ht="17" thickBot="1" x14ac:dyDescent="0.25">
      <c r="A80" s="78" t="s">
        <v>255</v>
      </c>
      <c r="B80" s="129" t="s">
        <v>256</v>
      </c>
      <c r="C80" s="82"/>
      <c r="D80" s="82"/>
      <c r="E80" s="79"/>
      <c r="F80" s="79"/>
      <c r="G80" s="79"/>
      <c r="H80" s="79"/>
      <c r="I80" s="79"/>
      <c r="J80" s="79"/>
      <c r="K80" s="594"/>
      <c r="L80" s="79"/>
      <c r="M80" s="594"/>
      <c r="N80" s="79"/>
      <c r="O80" s="79"/>
      <c r="P80" s="128"/>
      <c r="Q80" s="80"/>
    </row>
    <row r="81" spans="1:26" x14ac:dyDescent="0.2">
      <c r="A81" s="186" t="s">
        <v>257</v>
      </c>
      <c r="B81" s="149" t="s">
        <v>258</v>
      </c>
      <c r="C81" s="145">
        <v>328.2</v>
      </c>
      <c r="D81" s="145" t="s">
        <v>259</v>
      </c>
      <c r="E81" s="182" t="s">
        <v>258</v>
      </c>
      <c r="F81" s="59" t="s">
        <v>259</v>
      </c>
      <c r="G81" s="59">
        <v>328.2</v>
      </c>
      <c r="H81" s="59"/>
      <c r="I81" s="59"/>
      <c r="J81" s="59"/>
      <c r="K81" s="469" t="str">
        <f>IF(I81="mg/L",H81,IF(I81="mol/L",H81*G81*1000,IF(I81="log-mol/L",(10^(H81))*G81*1000,"")))</f>
        <v/>
      </c>
      <c r="L81" s="59"/>
      <c r="M81" s="469"/>
      <c r="N81" s="59"/>
      <c r="O81" s="59"/>
      <c r="P81" s="37"/>
      <c r="Q81" s="122"/>
    </row>
    <row r="82" spans="1:26" x14ac:dyDescent="0.2">
      <c r="A82" s="157" t="s">
        <v>260</v>
      </c>
      <c r="B82" s="152" t="s">
        <v>261</v>
      </c>
      <c r="C82" s="153">
        <v>428.2</v>
      </c>
      <c r="D82" s="153" t="s">
        <v>262</v>
      </c>
      <c r="E82" s="182" t="s">
        <v>261</v>
      </c>
      <c r="F82" s="59" t="s">
        <v>262</v>
      </c>
      <c r="G82" s="59">
        <v>428.2</v>
      </c>
      <c r="H82" s="59"/>
      <c r="I82" s="59"/>
      <c r="J82" s="59"/>
      <c r="K82" s="469" t="str">
        <f>IF(I82="mg/L",H82,IF(I82="mol/L",H82*G82*1000,IF(I82="log-mol/L",(10^(H82))*G82*1000,"")))</f>
        <v/>
      </c>
      <c r="L82" s="59"/>
      <c r="M82" s="469"/>
      <c r="N82" s="59"/>
      <c r="O82" s="59"/>
      <c r="P82" s="37"/>
      <c r="Q82" s="124"/>
    </row>
    <row r="83" spans="1:26" x14ac:dyDescent="0.2">
      <c r="A83" s="186" t="s">
        <v>266</v>
      </c>
      <c r="B83" s="149" t="s">
        <v>267</v>
      </c>
      <c r="C83" s="145">
        <v>528.20000000000005</v>
      </c>
      <c r="D83" s="145" t="s">
        <v>268</v>
      </c>
      <c r="E83" s="182" t="s">
        <v>267</v>
      </c>
      <c r="F83" s="59" t="s">
        <v>268</v>
      </c>
      <c r="G83" s="59">
        <v>528.20000000000005</v>
      </c>
      <c r="H83" s="59"/>
      <c r="I83" s="59"/>
      <c r="J83" s="59"/>
      <c r="K83" s="469" t="str">
        <f>IF(I83="mg/L",H83,IF(I83="mol/L",H83*G83*1000,IF(I83="log-mol/L",(10^(H83))*G83*1000,"")))</f>
        <v/>
      </c>
      <c r="L83" s="59"/>
      <c r="M83" s="469"/>
      <c r="N83" s="59"/>
      <c r="O83" s="59"/>
      <c r="P83" s="37"/>
      <c r="Q83" s="124"/>
    </row>
    <row r="84" spans="1:26" s="47" customFormat="1" ht="16.5" customHeight="1" thickBot="1" x14ac:dyDescent="0.25">
      <c r="A84" s="244" t="s">
        <v>272</v>
      </c>
      <c r="B84" s="245" t="s">
        <v>273</v>
      </c>
      <c r="C84" s="214">
        <v>628.20000000000005</v>
      </c>
      <c r="D84" s="214" t="s">
        <v>275</v>
      </c>
      <c r="E84" s="348" t="s">
        <v>273</v>
      </c>
      <c r="F84" s="331" t="s">
        <v>275</v>
      </c>
      <c r="G84" s="331">
        <v>628.20000000000005</v>
      </c>
      <c r="H84" s="601"/>
      <c r="I84" s="602"/>
      <c r="J84" s="601"/>
      <c r="K84" s="433"/>
      <c r="L84" s="433"/>
      <c r="M84" s="433"/>
      <c r="N84" s="432"/>
      <c r="O84" s="434"/>
      <c r="P84" s="30"/>
      <c r="Q84" s="100"/>
    </row>
    <row r="85" spans="1:26" ht="17" thickBot="1" x14ac:dyDescent="0.25">
      <c r="A85" s="78" t="s">
        <v>276</v>
      </c>
      <c r="B85" s="158" t="s">
        <v>277</v>
      </c>
      <c r="C85" s="82"/>
      <c r="D85" s="82"/>
      <c r="E85" s="79"/>
      <c r="F85" s="79"/>
      <c r="G85" s="79"/>
      <c r="H85" s="79"/>
      <c r="I85" s="79"/>
      <c r="J85" s="79"/>
      <c r="K85" s="594"/>
      <c r="L85" s="79"/>
      <c r="M85" s="594"/>
      <c r="N85" s="79"/>
      <c r="O85" s="79"/>
      <c r="P85" s="128"/>
      <c r="Q85" s="80"/>
    </row>
    <row r="86" spans="1:26" x14ac:dyDescent="0.2">
      <c r="A86" s="190" t="s">
        <v>278</v>
      </c>
      <c r="B86" s="156" t="s">
        <v>279</v>
      </c>
      <c r="C86" s="156">
        <v>299.10000000000002</v>
      </c>
      <c r="D86" s="156" t="s">
        <v>280</v>
      </c>
      <c r="E86" s="156" t="s">
        <v>279</v>
      </c>
      <c r="F86" s="156" t="s">
        <v>280</v>
      </c>
      <c r="G86" s="156">
        <v>299.10000000000002</v>
      </c>
      <c r="H86" s="135"/>
      <c r="I86" s="135"/>
      <c r="J86" s="135"/>
      <c r="K86" s="603"/>
      <c r="L86" s="135"/>
      <c r="M86" s="603"/>
      <c r="N86" s="135"/>
      <c r="O86" s="135"/>
      <c r="P86" s="201"/>
      <c r="Q86" s="99"/>
    </row>
    <row r="87" spans="1:26" x14ac:dyDescent="0.2">
      <c r="A87" s="191" t="s">
        <v>283</v>
      </c>
      <c r="B87" s="153" t="s">
        <v>284</v>
      </c>
      <c r="C87" s="153">
        <v>399.1</v>
      </c>
      <c r="D87" s="153" t="s">
        <v>285</v>
      </c>
      <c r="E87" s="153" t="s">
        <v>284</v>
      </c>
      <c r="F87" s="153" t="s">
        <v>285</v>
      </c>
      <c r="G87" s="153">
        <v>399.1</v>
      </c>
      <c r="H87" s="131"/>
      <c r="I87" s="131"/>
      <c r="J87" s="131"/>
      <c r="K87" s="525"/>
      <c r="L87" s="131"/>
      <c r="M87" s="525"/>
      <c r="N87" s="131"/>
      <c r="O87" s="131"/>
      <c r="P87" s="42"/>
      <c r="Q87" s="124"/>
    </row>
    <row r="88" spans="1:26" x14ac:dyDescent="0.2">
      <c r="A88" s="186" t="s">
        <v>290</v>
      </c>
      <c r="B88" s="149" t="s">
        <v>291</v>
      </c>
      <c r="C88" s="145">
        <v>499.1</v>
      </c>
      <c r="D88" s="145" t="s">
        <v>293</v>
      </c>
      <c r="E88" s="195" t="s">
        <v>291</v>
      </c>
      <c r="F88" s="59" t="s">
        <v>293</v>
      </c>
      <c r="G88" s="59">
        <v>499.1</v>
      </c>
      <c r="H88" s="59">
        <v>19.399999999999999</v>
      </c>
      <c r="I88" s="59" t="s">
        <v>507</v>
      </c>
      <c r="J88" s="59" t="s">
        <v>524</v>
      </c>
      <c r="K88" s="469">
        <f>IF(I88="mg/L",H88,IF(I88="mol/L",H88*G88*1000,IF(I88="log-mol/L",(10^(H88))*G88*1000,"")))</f>
        <v>19.399999999999999</v>
      </c>
      <c r="L88" s="183">
        <f>IF(I88="log-mg/L",H88,LOG(K88))</f>
        <v>1.287801729930226</v>
      </c>
      <c r="M88" s="469">
        <f>IF(I88="mol/L",H88,IF(I88="log-mol/L",10^H88,K88/(1000*G88)))</f>
        <v>3.886996593868964E-5</v>
      </c>
      <c r="N88" s="183">
        <f>IF(I88="log-mol/L",H88,LOG(M88))</f>
        <v>-4.4103858399358966</v>
      </c>
      <c r="O88" s="59">
        <v>21</v>
      </c>
      <c r="P88" s="37" t="s">
        <v>645</v>
      </c>
      <c r="Q88" s="122">
        <f>VLOOKUP(P88,References!$B$7:$F$252,5,FALSE)</f>
        <v>26</v>
      </c>
    </row>
    <row r="89" spans="1:26" x14ac:dyDescent="0.2">
      <c r="A89" s="157" t="s">
        <v>298</v>
      </c>
      <c r="B89" s="152" t="s">
        <v>299</v>
      </c>
      <c r="C89" s="153">
        <v>513.20000000000005</v>
      </c>
      <c r="D89" s="153" t="s">
        <v>301</v>
      </c>
      <c r="E89" s="195" t="s">
        <v>299</v>
      </c>
      <c r="F89" s="59" t="s">
        <v>301</v>
      </c>
      <c r="G89" s="59">
        <v>513.20000000000005</v>
      </c>
      <c r="H89" s="59"/>
      <c r="I89" s="59"/>
      <c r="J89" s="59"/>
      <c r="K89" s="469" t="str">
        <f>IF(I89="mg/L",H89,IF(I89="mol/L",H89*G89*1000,IF(I89="log-mol/L",(10^(H89))*G89*1000,"")))</f>
        <v/>
      </c>
      <c r="L89" s="59"/>
      <c r="M89" s="469"/>
      <c r="N89" s="59"/>
      <c r="O89" s="59"/>
      <c r="P89" s="37"/>
      <c r="Q89" s="124"/>
    </row>
    <row r="90" spans="1:26" x14ac:dyDescent="0.2">
      <c r="A90" s="186" t="s">
        <v>305</v>
      </c>
      <c r="B90" s="149" t="s">
        <v>306</v>
      </c>
      <c r="C90" s="145">
        <v>527.20000000000005</v>
      </c>
      <c r="D90" s="145" t="s">
        <v>308</v>
      </c>
      <c r="E90" s="142" t="s">
        <v>306</v>
      </c>
      <c r="F90" s="131" t="s">
        <v>308</v>
      </c>
      <c r="G90" s="131">
        <v>527.20000000000005</v>
      </c>
      <c r="H90" s="131"/>
      <c r="I90" s="131"/>
      <c r="J90" s="131"/>
      <c r="K90" s="525" t="str">
        <f>IF(I90="mg/L",H90,IF(I90="mol/L",H90*G90*1000,IF(I90="log-mol/L",(10^(H90))*G90*1000,"")))</f>
        <v/>
      </c>
      <c r="L90" s="131"/>
      <c r="M90" s="525"/>
      <c r="N90" s="131"/>
      <c r="O90" s="131"/>
      <c r="P90" s="42"/>
      <c r="Q90" s="124"/>
    </row>
    <row r="91" spans="1:26" ht="32" x14ac:dyDescent="0.2">
      <c r="A91" s="157" t="s">
        <v>315</v>
      </c>
      <c r="B91" s="152" t="s">
        <v>316</v>
      </c>
      <c r="C91" s="153">
        <v>651.23</v>
      </c>
      <c r="D91" s="153" t="s">
        <v>317</v>
      </c>
      <c r="E91" s="152" t="s">
        <v>316</v>
      </c>
      <c r="F91" s="153" t="s">
        <v>317</v>
      </c>
      <c r="G91" s="153">
        <v>651.23</v>
      </c>
      <c r="H91" s="131"/>
      <c r="I91" s="131"/>
      <c r="J91" s="131"/>
      <c r="K91" s="525"/>
      <c r="L91" s="131"/>
      <c r="M91" s="525"/>
      <c r="N91" s="131"/>
      <c r="O91" s="131"/>
      <c r="P91" s="42"/>
      <c r="Q91" s="124"/>
    </row>
    <row r="92" spans="1:26" ht="33" thickBot="1" x14ac:dyDescent="0.25">
      <c r="A92" s="187" t="s">
        <v>321</v>
      </c>
      <c r="B92" s="188" t="s">
        <v>322</v>
      </c>
      <c r="C92" s="146">
        <v>1204.46</v>
      </c>
      <c r="D92" s="146" t="s">
        <v>323</v>
      </c>
      <c r="E92" s="188" t="s">
        <v>322</v>
      </c>
      <c r="F92" s="146" t="s">
        <v>323</v>
      </c>
      <c r="G92" s="146">
        <v>1204.46</v>
      </c>
      <c r="H92" s="138"/>
      <c r="I92" s="138"/>
      <c r="J92" s="138"/>
      <c r="K92" s="604"/>
      <c r="L92" s="138"/>
      <c r="M92" s="604"/>
      <c r="N92" s="138"/>
      <c r="O92" s="138"/>
      <c r="P92" s="210"/>
      <c r="Q92" s="101"/>
    </row>
    <row r="93" spans="1:26" ht="17" thickBot="1" x14ac:dyDescent="0.25">
      <c r="A93" s="83" t="s">
        <v>326</v>
      </c>
      <c r="B93" s="176" t="s">
        <v>327</v>
      </c>
      <c r="C93" s="82"/>
      <c r="D93" s="82"/>
      <c r="E93" s="79"/>
      <c r="F93" s="79"/>
      <c r="G93" s="79"/>
      <c r="H93" s="79"/>
      <c r="I93" s="79"/>
      <c r="J93" s="79"/>
      <c r="K93" s="594"/>
      <c r="L93" s="79"/>
      <c r="M93" s="594"/>
      <c r="N93" s="79"/>
      <c r="O93" s="79"/>
      <c r="P93" s="128"/>
      <c r="Q93" s="80"/>
    </row>
    <row r="94" spans="1:26" s="2" customFormat="1" ht="15" x14ac:dyDescent="0.2">
      <c r="A94" s="295" t="s">
        <v>328</v>
      </c>
      <c r="B94" s="59" t="s">
        <v>329</v>
      </c>
      <c r="C94" s="239">
        <v>343.2</v>
      </c>
      <c r="D94" s="59" t="s">
        <v>330</v>
      </c>
      <c r="E94" s="59" t="s">
        <v>329</v>
      </c>
      <c r="F94" s="59" t="s">
        <v>330</v>
      </c>
      <c r="G94" s="239">
        <v>343.2</v>
      </c>
      <c r="H94" s="59"/>
      <c r="I94" s="37"/>
      <c r="J94" s="59"/>
      <c r="K94" s="59"/>
      <c r="L94" s="37"/>
      <c r="M94" s="59"/>
      <c r="N94" s="59"/>
      <c r="O94" s="59"/>
      <c r="P94" s="37"/>
      <c r="Q94" s="122"/>
      <c r="R94" s="3"/>
      <c r="S94" s="11"/>
      <c r="T94" s="11"/>
      <c r="U94" s="11"/>
      <c r="V94" s="11"/>
      <c r="W94" s="11"/>
      <c r="X94" s="11"/>
      <c r="Y94" s="11"/>
      <c r="Z94" s="11"/>
    </row>
    <row r="95" spans="1:26" x14ac:dyDescent="0.2">
      <c r="A95" s="243" t="s">
        <v>332</v>
      </c>
      <c r="B95" s="149" t="s">
        <v>333</v>
      </c>
      <c r="C95" s="145">
        <v>543.20000000000005</v>
      </c>
      <c r="D95" s="145" t="s">
        <v>335</v>
      </c>
      <c r="E95" s="59" t="s">
        <v>333</v>
      </c>
      <c r="F95" s="59" t="s">
        <v>335</v>
      </c>
      <c r="G95" s="59">
        <v>543.20000000000005</v>
      </c>
      <c r="H95" s="59"/>
      <c r="I95" s="59"/>
      <c r="J95" s="59"/>
      <c r="K95" s="469" t="str">
        <f>IF(I95="mg/L",H95,IF(I95="mol/L",H95*G95*1000,IF(I95="log-mol/L",(10^(H95))*G95*1000,"")))</f>
        <v/>
      </c>
      <c r="L95" s="59"/>
      <c r="M95" s="469"/>
      <c r="N95" s="59"/>
      <c r="O95" s="59"/>
      <c r="P95" s="37"/>
      <c r="Q95" s="122"/>
    </row>
    <row r="96" spans="1:26" x14ac:dyDescent="0.2">
      <c r="A96" s="157" t="s">
        <v>337</v>
      </c>
      <c r="B96" s="152" t="s">
        <v>338</v>
      </c>
      <c r="C96" s="153">
        <v>557.20000000000005</v>
      </c>
      <c r="D96" s="153" t="s">
        <v>340</v>
      </c>
      <c r="E96" s="195" t="s">
        <v>338</v>
      </c>
      <c r="F96" s="59" t="s">
        <v>340</v>
      </c>
      <c r="G96" s="59">
        <v>557.20000000000005</v>
      </c>
      <c r="H96" s="59"/>
      <c r="I96" s="59"/>
      <c r="J96" s="59"/>
      <c r="K96" s="469" t="str">
        <f>IF(I96="mg/L",H96,IF(I96="mol/L",H96*G96*1000,IF(I96="log-mol/L",(10^(H96))*G96*1000,"")))</f>
        <v/>
      </c>
      <c r="L96" s="59"/>
      <c r="M96" s="469"/>
      <c r="N96" s="59"/>
      <c r="O96" s="59"/>
      <c r="P96" s="37"/>
      <c r="Q96" s="124"/>
    </row>
    <row r="97" spans="1:19" ht="17" thickBot="1" x14ac:dyDescent="0.25">
      <c r="A97" s="186" t="s">
        <v>345</v>
      </c>
      <c r="B97" s="149" t="s">
        <v>346</v>
      </c>
      <c r="C97" s="145">
        <v>571.29999999999995</v>
      </c>
      <c r="D97" s="145" t="s">
        <v>348</v>
      </c>
      <c r="E97" s="134" t="s">
        <v>346</v>
      </c>
      <c r="F97" s="58" t="s">
        <v>348</v>
      </c>
      <c r="G97" s="58">
        <v>571.29999999999995</v>
      </c>
      <c r="H97" s="58"/>
      <c r="I97" s="58"/>
      <c r="J97" s="58"/>
      <c r="K97" s="433" t="str">
        <f>IF(I97="mg/L",H97,IF(I97="mol/L",H97*G97*1000,IF(I97="log-mol/L",(10^(H97))*G97*1000,"")))</f>
        <v/>
      </c>
      <c r="L97" s="58"/>
      <c r="M97" s="433"/>
      <c r="N97" s="58"/>
      <c r="O97" s="58"/>
      <c r="P97" s="30"/>
      <c r="Q97" s="100"/>
    </row>
    <row r="98" spans="1:19" ht="17" thickBot="1" x14ac:dyDescent="0.25">
      <c r="A98" s="83" t="s">
        <v>353</v>
      </c>
      <c r="B98" s="176" t="s">
        <v>354</v>
      </c>
      <c r="C98" s="82"/>
      <c r="D98" s="82"/>
      <c r="E98" s="79"/>
      <c r="F98" s="79"/>
      <c r="G98" s="79"/>
      <c r="H98" s="79"/>
      <c r="I98" s="79"/>
      <c r="J98" s="79"/>
      <c r="K98" s="594"/>
      <c r="L98" s="79"/>
      <c r="M98" s="594"/>
      <c r="N98" s="79"/>
      <c r="O98" s="79"/>
      <c r="P98" s="128"/>
      <c r="Q98" s="80"/>
    </row>
    <row r="99" spans="1:19" x14ac:dyDescent="0.2">
      <c r="A99" s="243" t="s">
        <v>355</v>
      </c>
      <c r="B99" s="149" t="s">
        <v>356</v>
      </c>
      <c r="C99" s="145">
        <v>557.20000000000005</v>
      </c>
      <c r="D99" s="145" t="s">
        <v>358</v>
      </c>
      <c r="E99" s="59" t="s">
        <v>356</v>
      </c>
      <c r="F99" s="59" t="s">
        <v>358</v>
      </c>
      <c r="G99" s="59">
        <v>557.20000000000005</v>
      </c>
      <c r="H99" s="59"/>
      <c r="I99" s="59"/>
      <c r="J99" s="59"/>
      <c r="K99" s="469" t="str">
        <f>IF(I99="mg/L",H99,IF(I99="mol/L",H99*G99*1000,IF(I99="log-mol/L",(10^(H99))*G99*1000,"")))</f>
        <v/>
      </c>
      <c r="L99" s="59"/>
      <c r="M99" s="469"/>
      <c r="N99" s="59"/>
      <c r="O99" s="59"/>
      <c r="P99" s="37"/>
      <c r="Q99" s="122"/>
    </row>
    <row r="100" spans="1:19" x14ac:dyDescent="0.2">
      <c r="A100" s="191" t="s">
        <v>362</v>
      </c>
      <c r="B100" s="152" t="s">
        <v>363</v>
      </c>
      <c r="C100" s="153">
        <v>571.20000000000005</v>
      </c>
      <c r="D100" s="153" t="s">
        <v>365</v>
      </c>
      <c r="E100" s="59" t="s">
        <v>363</v>
      </c>
      <c r="F100" s="59" t="s">
        <v>365</v>
      </c>
      <c r="G100" s="59">
        <v>571.20000000000005</v>
      </c>
      <c r="H100" s="59"/>
      <c r="I100" s="59"/>
      <c r="J100" s="59"/>
      <c r="K100" s="469" t="str">
        <f>IF(I100="mg/L",H100,IF(I100="mol/L",H100*G100*1000,IF(I100="log-mol/L",(10^(H100))*G100*1000,"")))</f>
        <v/>
      </c>
      <c r="L100" s="59"/>
      <c r="M100" s="469"/>
      <c r="N100" s="59"/>
      <c r="O100" s="59"/>
      <c r="P100" s="37"/>
      <c r="Q100" s="124"/>
    </row>
    <row r="101" spans="1:19" ht="17" thickBot="1" x14ac:dyDescent="0.25">
      <c r="A101" s="243" t="s">
        <v>369</v>
      </c>
      <c r="B101" s="149" t="s">
        <v>370</v>
      </c>
      <c r="C101" s="145">
        <v>585.20000000000005</v>
      </c>
      <c r="D101" s="145" t="s">
        <v>372</v>
      </c>
      <c r="E101" s="58" t="s">
        <v>370</v>
      </c>
      <c r="F101" s="58" t="s">
        <v>372</v>
      </c>
      <c r="G101" s="58">
        <v>585.20000000000005</v>
      </c>
      <c r="H101" s="58"/>
      <c r="I101" s="58"/>
      <c r="J101" s="58"/>
      <c r="K101" s="433" t="str">
        <f>IF(I101="mg/L",H101,IF(I101="mol/L",H101*G101*1000,IF(I101="log-mol/L",(10^(H101))*G101*1000,"")))</f>
        <v/>
      </c>
      <c r="L101" s="58"/>
      <c r="M101" s="433"/>
      <c r="N101" s="58"/>
      <c r="O101" s="58"/>
      <c r="P101" s="30"/>
      <c r="Q101" s="100"/>
    </row>
    <row r="102" spans="1:19" ht="17" thickBot="1" x14ac:dyDescent="0.25">
      <c r="A102" s="78" t="s">
        <v>376</v>
      </c>
      <c r="B102" s="158" t="s">
        <v>377</v>
      </c>
      <c r="C102" s="82"/>
      <c r="D102" s="82"/>
      <c r="E102" s="79"/>
      <c r="F102" s="79"/>
      <c r="G102" s="79"/>
      <c r="H102" s="79"/>
      <c r="I102" s="79"/>
      <c r="J102" s="79"/>
      <c r="K102" s="594"/>
      <c r="L102" s="79"/>
      <c r="M102" s="594"/>
      <c r="N102" s="79"/>
      <c r="O102" s="79"/>
      <c r="P102" s="128"/>
      <c r="Q102" s="80"/>
    </row>
    <row r="103" spans="1:19" x14ac:dyDescent="0.2">
      <c r="A103" s="186" t="s">
        <v>378</v>
      </c>
      <c r="B103" s="149" t="s">
        <v>379</v>
      </c>
      <c r="C103" s="145">
        <v>264.10000000000002</v>
      </c>
      <c r="D103" s="145" t="s">
        <v>380</v>
      </c>
      <c r="E103" s="195" t="s">
        <v>379</v>
      </c>
      <c r="F103" s="59" t="s">
        <v>380</v>
      </c>
      <c r="G103" s="59">
        <v>264.10000000000002</v>
      </c>
      <c r="H103" s="59"/>
      <c r="I103" s="59"/>
      <c r="J103" s="59"/>
      <c r="K103" s="469" t="str">
        <f>IF(I103="mg/L",H103,IF(I103="mol/L",H103*G103*1000,IF(I103="log-mol/L",(10^(H103))*G103*1000,"")))</f>
        <v/>
      </c>
      <c r="L103" s="59"/>
      <c r="M103" s="469"/>
      <c r="N103" s="59"/>
      <c r="O103" s="59"/>
      <c r="P103" s="37"/>
      <c r="Q103" s="122"/>
    </row>
    <row r="104" spans="1:19" x14ac:dyDescent="0.2">
      <c r="A104" s="157" t="s">
        <v>386</v>
      </c>
      <c r="B104" s="152" t="s">
        <v>387</v>
      </c>
      <c r="C104" s="153">
        <v>364.1</v>
      </c>
      <c r="D104" s="153" t="s">
        <v>388</v>
      </c>
      <c r="E104" s="195" t="s">
        <v>387</v>
      </c>
      <c r="F104" s="59" t="s">
        <v>388</v>
      </c>
      <c r="G104" s="59">
        <v>364.1</v>
      </c>
      <c r="H104" s="59"/>
      <c r="I104" s="59"/>
      <c r="J104" s="59"/>
      <c r="K104" s="469" t="str">
        <f>IF(I104="mg/L",H104,IF(I104="mol/L",H104*G104*1000,IF(I104="log-mol/L",(10^(H104))*G104*1000,"")))</f>
        <v/>
      </c>
      <c r="L104" s="59"/>
      <c r="M104" s="469"/>
      <c r="N104" s="59"/>
      <c r="O104" s="59"/>
      <c r="P104" s="37"/>
      <c r="Q104" s="124"/>
    </row>
    <row r="105" spans="1:19" x14ac:dyDescent="0.2">
      <c r="A105" s="186" t="s">
        <v>395</v>
      </c>
      <c r="B105" s="149" t="s">
        <v>396</v>
      </c>
      <c r="C105" s="145">
        <v>464.1</v>
      </c>
      <c r="D105" s="145" t="s">
        <v>397</v>
      </c>
      <c r="E105" s="195" t="s">
        <v>396</v>
      </c>
      <c r="F105" s="59" t="s">
        <v>397</v>
      </c>
      <c r="G105" s="59">
        <v>464.1</v>
      </c>
      <c r="H105" s="59">
        <v>0.02</v>
      </c>
      <c r="I105" s="59" t="s">
        <v>509</v>
      </c>
      <c r="J105" s="59" t="s">
        <v>27</v>
      </c>
      <c r="K105" s="469">
        <f>IF(I105="mg/L",H105,IF(I105="mol/L",H105*G105*1000,IF(I105="log-mol/L",(10^(H105))*G105*1000,"")))</f>
        <v>9282</v>
      </c>
      <c r="L105" s="183">
        <f>IF(I105="log-mg/L",H105,LOG(K105))</f>
        <v>3.9676415640830109</v>
      </c>
      <c r="M105" s="469">
        <f>IF(I105="mol/L",H105,IF(I105="log-mol/L",10^H105,K105/(1000*G105)))</f>
        <v>0.02</v>
      </c>
      <c r="N105" s="183">
        <f>IF(I105="log-mol/L",H105,LOG(M105))</f>
        <v>-1.6989700043360187</v>
      </c>
      <c r="O105" s="59">
        <v>32</v>
      </c>
      <c r="P105" s="37" t="s">
        <v>644</v>
      </c>
      <c r="Q105" s="124">
        <f>VLOOKUP(P105,References!$B$7:$F$252,5,FALSE)</f>
        <v>117</v>
      </c>
    </row>
    <row r="106" spans="1:19" ht="17" thickBot="1" x14ac:dyDescent="0.25">
      <c r="A106" s="236" t="s">
        <v>406</v>
      </c>
      <c r="B106" s="150" t="s">
        <v>407</v>
      </c>
      <c r="C106" s="151">
        <v>564.1</v>
      </c>
      <c r="D106" s="151" t="s">
        <v>408</v>
      </c>
      <c r="E106" s="134" t="s">
        <v>407</v>
      </c>
      <c r="F106" s="58" t="s">
        <v>408</v>
      </c>
      <c r="G106" s="58">
        <v>564.1</v>
      </c>
      <c r="H106" s="58"/>
      <c r="I106" s="58"/>
      <c r="J106" s="58"/>
      <c r="K106" s="433" t="str">
        <f>IF(I106="mg/L",H106,IF(I106="mol/L",H106*G106*1000,IF(I106="log-mol/L",(10^(H106))*G106*1000,"")))</f>
        <v/>
      </c>
      <c r="L106" s="58"/>
      <c r="M106" s="433"/>
      <c r="N106" s="58"/>
      <c r="O106" s="58"/>
      <c r="P106" s="30"/>
      <c r="Q106" s="100"/>
    </row>
    <row r="107" spans="1:19" ht="17" thickBot="1" x14ac:dyDescent="0.25">
      <c r="A107" s="237" t="s">
        <v>415</v>
      </c>
      <c r="B107" s="129" t="s">
        <v>416</v>
      </c>
      <c r="C107" s="82"/>
      <c r="D107" s="82"/>
      <c r="E107" s="79"/>
      <c r="F107" s="79"/>
      <c r="G107" s="79"/>
      <c r="H107" s="79"/>
      <c r="I107" s="79"/>
      <c r="J107" s="79"/>
      <c r="K107" s="594"/>
      <c r="L107" s="79"/>
      <c r="M107" s="594"/>
      <c r="N107" s="79"/>
      <c r="O107" s="79"/>
      <c r="P107" s="128"/>
      <c r="Q107" s="80"/>
    </row>
    <row r="108" spans="1:19" s="2" customFormat="1" ht="15" x14ac:dyDescent="0.2">
      <c r="A108" s="595" t="s">
        <v>417</v>
      </c>
      <c r="B108" s="296" t="s">
        <v>418</v>
      </c>
      <c r="C108" s="466">
        <v>180.03</v>
      </c>
      <c r="D108" s="296" t="s">
        <v>419</v>
      </c>
      <c r="E108" s="296" t="s">
        <v>418</v>
      </c>
      <c r="F108" s="296" t="s">
        <v>419</v>
      </c>
      <c r="G108" s="466">
        <v>180.03</v>
      </c>
      <c r="H108" s="297"/>
      <c r="I108" s="297"/>
      <c r="J108" s="297"/>
      <c r="K108" s="596"/>
      <c r="L108" s="425"/>
      <c r="M108" s="596"/>
      <c r="N108" s="596"/>
      <c r="O108" s="596"/>
      <c r="P108" s="425"/>
      <c r="Q108" s="426"/>
      <c r="R108" s="30"/>
      <c r="S108" s="30"/>
    </row>
    <row r="109" spans="1:19" ht="18" x14ac:dyDescent="0.2">
      <c r="A109" s="246" t="s">
        <v>423</v>
      </c>
      <c r="B109" s="182" t="s">
        <v>424</v>
      </c>
      <c r="C109" s="239">
        <v>330.19</v>
      </c>
      <c r="D109" s="239" t="s">
        <v>426</v>
      </c>
      <c r="E109" s="195" t="s">
        <v>541</v>
      </c>
      <c r="F109" s="59" t="s">
        <v>426</v>
      </c>
      <c r="G109" s="59">
        <v>330.19</v>
      </c>
      <c r="H109" s="325">
        <v>0.14000000000000001</v>
      </c>
      <c r="I109" s="59" t="s">
        <v>509</v>
      </c>
      <c r="J109" s="59" t="s">
        <v>27</v>
      </c>
      <c r="K109" s="469">
        <f>IF(I109="mg/L",H109,IF(I109="mol/L",H109*G109*1000,IF(I109="log-mol/L",(10^(H109))*G109*1000,"")))</f>
        <v>46226.600000000006</v>
      </c>
      <c r="L109" s="183">
        <f>IF(I109="log-mg/L",H109,LOG(K109))</f>
        <v>4.6648919519381966</v>
      </c>
      <c r="M109" s="469">
        <f>IF(I109="mol/L",H109,IF(I109="log-mol/L",10^H109,K109/(1000*G109)))</f>
        <v>0.14000000000000001</v>
      </c>
      <c r="N109" s="183">
        <f>IF(I109="log-mol/L",H109,LOG(M109))</f>
        <v>-0.85387196432176193</v>
      </c>
      <c r="O109" s="59">
        <v>20.5</v>
      </c>
      <c r="P109" s="37" t="s">
        <v>646</v>
      </c>
      <c r="Q109" s="122">
        <f>VLOOKUP(P109,References!$B$7:$F$252,5,FALSE)</f>
        <v>59</v>
      </c>
    </row>
    <row r="110" spans="1:19" ht="17" x14ac:dyDescent="0.2">
      <c r="A110" s="605" t="s">
        <v>432</v>
      </c>
      <c r="B110" s="239" t="s">
        <v>433</v>
      </c>
      <c r="C110" s="239">
        <v>347.1</v>
      </c>
      <c r="D110" s="239" t="s">
        <v>435</v>
      </c>
      <c r="E110" s="239" t="s">
        <v>543</v>
      </c>
      <c r="F110" s="239" t="s">
        <v>435</v>
      </c>
      <c r="G110" s="239">
        <v>347.1</v>
      </c>
      <c r="H110" s="59">
        <v>0.17499999999999999</v>
      </c>
      <c r="I110" s="59" t="s">
        <v>509</v>
      </c>
      <c r="J110" s="59" t="s">
        <v>27</v>
      </c>
      <c r="K110" s="469">
        <f>IF(I110="mg/L",H110,IF(I110="mol/L",H110*G110*1000,IF(I110="log-mol/L",(10^(H110))*G110*1000,"")))</f>
        <v>60742.5</v>
      </c>
      <c r="L110" s="183">
        <f>IF(I110="log-mg/L",H110,LOG(K110))</f>
        <v>4.7834926623577063</v>
      </c>
      <c r="M110" s="469">
        <f>IF(I110="mol/L",H110,IF(I110="log-mol/L",10^H110,K110/(1000*G110)))</f>
        <v>0.17499999999999999</v>
      </c>
      <c r="N110" s="183">
        <f>IF(I110="log-mol/L",H110,LOG(M110))</f>
        <v>-0.75696195131370558</v>
      </c>
      <c r="O110" s="59">
        <v>20.5</v>
      </c>
      <c r="P110" s="37" t="s">
        <v>646</v>
      </c>
      <c r="Q110" s="122">
        <f>VLOOKUP(P110,References!$B$7:$F$252,5,FALSE)</f>
        <v>59</v>
      </c>
    </row>
    <row r="111" spans="1:19" x14ac:dyDescent="0.2">
      <c r="A111" s="143" t="s">
        <v>437</v>
      </c>
      <c r="B111" s="131" t="s">
        <v>438</v>
      </c>
      <c r="C111" s="141">
        <v>230</v>
      </c>
      <c r="D111" s="131" t="s">
        <v>440</v>
      </c>
      <c r="E111" s="131" t="s">
        <v>438</v>
      </c>
      <c r="F111" s="131" t="s">
        <v>440</v>
      </c>
      <c r="G111" s="141">
        <v>230</v>
      </c>
      <c r="H111" s="131"/>
      <c r="I111" s="131"/>
      <c r="J111" s="131"/>
      <c r="K111" s="469"/>
      <c r="L111" s="131"/>
      <c r="M111" s="469"/>
      <c r="N111" s="131"/>
      <c r="O111" s="131"/>
      <c r="P111" s="42"/>
      <c r="Q111" s="124"/>
    </row>
    <row r="112" spans="1:19" x14ac:dyDescent="0.2">
      <c r="A112" s="136" t="s">
        <v>444</v>
      </c>
      <c r="B112" s="58" t="s">
        <v>445</v>
      </c>
      <c r="C112" s="133">
        <v>280</v>
      </c>
      <c r="D112" s="58" t="s">
        <v>447</v>
      </c>
      <c r="E112" s="59" t="s">
        <v>445</v>
      </c>
      <c r="F112" s="59" t="s">
        <v>447</v>
      </c>
      <c r="G112" s="294">
        <v>280</v>
      </c>
      <c r="H112" s="59"/>
      <c r="I112" s="59"/>
      <c r="J112" s="59"/>
      <c r="K112" s="469"/>
      <c r="L112" s="59"/>
      <c r="M112" s="469"/>
      <c r="N112" s="59"/>
      <c r="O112" s="59"/>
      <c r="P112" s="37"/>
      <c r="Q112" s="124"/>
    </row>
    <row r="113" spans="1:38" ht="17" thickBot="1" x14ac:dyDescent="0.25">
      <c r="A113" s="242" t="s">
        <v>451</v>
      </c>
      <c r="B113" s="57" t="s">
        <v>452</v>
      </c>
      <c r="C113" s="167">
        <v>296</v>
      </c>
      <c r="D113" s="57" t="s">
        <v>454</v>
      </c>
      <c r="E113" s="57" t="s">
        <v>452</v>
      </c>
      <c r="F113" s="57" t="s">
        <v>454</v>
      </c>
      <c r="G113" s="167">
        <v>296</v>
      </c>
      <c r="H113" s="57"/>
      <c r="I113" s="57"/>
      <c r="J113" s="57"/>
      <c r="K113" s="433"/>
      <c r="L113" s="57"/>
      <c r="M113" s="433"/>
      <c r="N113" s="57"/>
      <c r="O113" s="57"/>
      <c r="P113" s="41"/>
      <c r="Q113" s="100"/>
    </row>
    <row r="114" spans="1:38" s="2" customFormat="1" thickBot="1" x14ac:dyDescent="0.25">
      <c r="A114" s="130" t="s">
        <v>458</v>
      </c>
      <c r="B114" s="129" t="s">
        <v>459</v>
      </c>
      <c r="C114" s="165"/>
      <c r="D114" s="165"/>
      <c r="E114" s="75"/>
      <c r="F114" s="75"/>
      <c r="G114" s="75"/>
      <c r="H114" s="106"/>
      <c r="I114" s="106"/>
      <c r="J114" s="106"/>
      <c r="K114" s="594"/>
      <c r="L114" s="106"/>
      <c r="M114" s="594"/>
      <c r="N114" s="75"/>
      <c r="O114" s="75"/>
      <c r="P114" s="75"/>
      <c r="Q114" s="76"/>
    </row>
    <row r="115" spans="1:38" ht="32" x14ac:dyDescent="0.2">
      <c r="A115" s="186" t="s">
        <v>460</v>
      </c>
      <c r="B115" s="379" t="s">
        <v>461</v>
      </c>
      <c r="C115" s="145">
        <v>632.6</v>
      </c>
      <c r="D115" s="145" t="s">
        <v>463</v>
      </c>
      <c r="E115" s="195" t="s">
        <v>544</v>
      </c>
      <c r="F115" s="59" t="s">
        <v>463</v>
      </c>
      <c r="G115" s="59">
        <v>632.6</v>
      </c>
      <c r="H115" s="59"/>
      <c r="I115" s="59"/>
      <c r="J115" s="59"/>
      <c r="K115" s="469" t="str">
        <f>IF(I115="mg/L",H115,IF(I115="mol/L",H115*G115*1000,IF(I115="log-mol/L",(10^(H115))*G115*1000,"")))</f>
        <v/>
      </c>
      <c r="L115" s="59"/>
      <c r="M115" s="469"/>
      <c r="N115" s="59"/>
      <c r="O115" s="59"/>
      <c r="P115" s="59"/>
      <c r="Q115" s="122"/>
    </row>
    <row r="116" spans="1:38" ht="32" x14ac:dyDescent="0.2">
      <c r="A116" s="157" t="s">
        <v>464</v>
      </c>
      <c r="B116" s="118" t="s">
        <v>465</v>
      </c>
      <c r="C116" s="153">
        <v>532.6</v>
      </c>
      <c r="D116" s="153" t="s">
        <v>467</v>
      </c>
      <c r="E116" s="142" t="s">
        <v>545</v>
      </c>
      <c r="F116" s="131" t="s">
        <v>467</v>
      </c>
      <c r="G116" s="131">
        <v>532.6</v>
      </c>
      <c r="H116" s="131"/>
      <c r="I116" s="131"/>
      <c r="J116" s="131"/>
      <c r="K116" s="469" t="str">
        <f>IF(I116="mg/L",H116,IF(I116="mol/L",H116*G116*1000,IF(I116="log-mol/L",(10^(H116))*G116*1000,"")))</f>
        <v/>
      </c>
      <c r="L116" s="131"/>
      <c r="M116" s="469"/>
      <c r="N116" s="131"/>
      <c r="O116" s="131"/>
      <c r="P116" s="131"/>
      <c r="Q116" s="124"/>
    </row>
    <row r="117" spans="1:38" ht="17" thickBot="1" x14ac:dyDescent="0.25">
      <c r="A117" s="166" t="s">
        <v>468</v>
      </c>
      <c r="B117" s="58" t="s">
        <v>469</v>
      </c>
      <c r="C117" s="145">
        <v>316.10000000000002</v>
      </c>
      <c r="D117" s="58" t="s">
        <v>471</v>
      </c>
      <c r="E117" s="58" t="s">
        <v>469</v>
      </c>
      <c r="F117" s="58" t="s">
        <v>471</v>
      </c>
      <c r="G117" s="145">
        <v>316.10000000000002</v>
      </c>
      <c r="H117" s="58"/>
      <c r="I117" s="58"/>
      <c r="J117" s="58"/>
      <c r="K117" s="433"/>
      <c r="L117" s="58"/>
      <c r="M117" s="433"/>
      <c r="N117" s="58"/>
      <c r="O117" s="58"/>
      <c r="P117" s="58"/>
      <c r="Q117" s="100"/>
    </row>
    <row r="118" spans="1:38" ht="17" thickBot="1" x14ac:dyDescent="0.25">
      <c r="A118" s="237" t="s">
        <v>475</v>
      </c>
      <c r="B118" s="158"/>
      <c r="C118" s="165"/>
      <c r="D118" s="165"/>
      <c r="E118" s="75"/>
      <c r="F118" s="75"/>
      <c r="G118" s="75"/>
      <c r="H118" s="106"/>
      <c r="I118" s="106"/>
      <c r="J118" s="106"/>
      <c r="K118" s="594"/>
      <c r="L118" s="106"/>
      <c r="M118" s="594"/>
      <c r="N118" s="75"/>
      <c r="O118" s="75"/>
      <c r="P118" s="75"/>
      <c r="Q118" s="76"/>
    </row>
    <row r="119" spans="1:38" ht="17" thickBot="1" x14ac:dyDescent="0.25">
      <c r="A119" s="187" t="s">
        <v>476</v>
      </c>
      <c r="B119" s="188" t="s">
        <v>477</v>
      </c>
      <c r="C119" s="139">
        <v>378.1</v>
      </c>
      <c r="D119" s="146" t="s">
        <v>479</v>
      </c>
      <c r="E119" s="140" t="s">
        <v>477</v>
      </c>
      <c r="F119" s="138" t="s">
        <v>479</v>
      </c>
      <c r="G119" s="284">
        <v>378.1</v>
      </c>
      <c r="H119" s="138"/>
      <c r="I119" s="138"/>
      <c r="J119" s="138"/>
      <c r="K119" s="604" t="str">
        <f>IF(I119="mg/L",H119,IF(I119="mol/L",H119*G119*1000,IF(I119="log-mol/L",(10^(H119))*G119*1000,"")))</f>
        <v/>
      </c>
      <c r="L119" s="138"/>
      <c r="M119" s="604"/>
      <c r="N119" s="138"/>
      <c r="O119" s="138"/>
      <c r="P119" s="138"/>
      <c r="Q119" s="101"/>
    </row>
    <row r="120" spans="1:38" s="2" customFormat="1" thickBot="1" x14ac:dyDescent="0.25">
      <c r="A120" s="237" t="s">
        <v>481</v>
      </c>
      <c r="B120" s="129"/>
      <c r="C120" s="82"/>
      <c r="D120" s="79"/>
      <c r="E120" s="79"/>
      <c r="F120" s="79"/>
      <c r="G120" s="79"/>
      <c r="H120" s="79"/>
      <c r="I120" s="128"/>
      <c r="J120" s="79"/>
      <c r="K120" s="79"/>
      <c r="L120" s="79"/>
      <c r="M120" s="79"/>
      <c r="N120" s="79"/>
      <c r="O120" s="79"/>
      <c r="P120" s="79"/>
      <c r="Q120" s="80"/>
      <c r="R120" s="3"/>
    </row>
    <row r="121" spans="1:38" s="2" customFormat="1" ht="18.75" customHeight="1" thickBot="1" x14ac:dyDescent="0.25">
      <c r="A121" s="606" t="s">
        <v>482</v>
      </c>
      <c r="B121" s="607" t="s">
        <v>483</v>
      </c>
      <c r="C121" s="608">
        <v>281.10000000000002</v>
      </c>
      <c r="D121" s="607" t="s">
        <v>484</v>
      </c>
      <c r="E121" s="491" t="s">
        <v>546</v>
      </c>
      <c r="F121" s="491" t="s">
        <v>484</v>
      </c>
      <c r="G121" s="608">
        <v>281.10000000000002</v>
      </c>
      <c r="H121" s="491"/>
      <c r="I121" s="491"/>
      <c r="J121" s="609"/>
      <c r="K121" s="609"/>
      <c r="L121" s="609"/>
      <c r="M121" s="492"/>
      <c r="N121" s="609"/>
      <c r="O121" s="491"/>
      <c r="P121" s="610"/>
      <c r="Q121" s="102"/>
      <c r="R121" s="3"/>
    </row>
    <row r="123" spans="1:38" x14ac:dyDescent="0.2">
      <c r="A123" s="66" t="s">
        <v>487</v>
      </c>
    </row>
    <row r="124" spans="1:38" s="2" customFormat="1" ht="63.5" customHeight="1" x14ac:dyDescent="0.2">
      <c r="A124" s="894" t="s">
        <v>488</v>
      </c>
      <c r="B124" s="894"/>
      <c r="C124" s="894"/>
      <c r="D124" s="894"/>
      <c r="E124" s="894"/>
      <c r="F124" s="894"/>
      <c r="G124" s="894"/>
      <c r="H124" s="894"/>
      <c r="I124" s="894"/>
      <c r="R124" s="3"/>
    </row>
    <row r="125" spans="1:38" s="2" customFormat="1" ht="15" x14ac:dyDescent="0.2">
      <c r="A125" s="2" t="s">
        <v>489</v>
      </c>
      <c r="B125" s="3"/>
      <c r="F125" s="3"/>
      <c r="G125" s="3"/>
      <c r="H125" s="3"/>
      <c r="I125" s="29"/>
      <c r="J125" s="60"/>
      <c r="K125" s="3"/>
      <c r="L125" s="3"/>
      <c r="M125" s="29"/>
      <c r="N125" s="60"/>
      <c r="O125" s="3"/>
      <c r="P125" s="3"/>
      <c r="Q125" s="29"/>
      <c r="R125" s="3"/>
    </row>
    <row r="126" spans="1:38" x14ac:dyDescent="0.2">
      <c r="A126" s="2" t="s">
        <v>490</v>
      </c>
    </row>
    <row r="127" spans="1:38" s="5" customFormat="1" ht="15" x14ac:dyDescent="0.2">
      <c r="A127" s="10" t="s">
        <v>647</v>
      </c>
      <c r="B127" s="3"/>
      <c r="C127" s="20"/>
      <c r="D127" s="6"/>
      <c r="E127" s="6"/>
      <c r="F127" s="6"/>
      <c r="G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2">
      <c r="A128" s="66" t="s">
        <v>648</v>
      </c>
    </row>
    <row r="129" spans="1:1" x14ac:dyDescent="0.2">
      <c r="A129" s="66" t="s">
        <v>492</v>
      </c>
    </row>
    <row r="130" spans="1:1" x14ac:dyDescent="0.2">
      <c r="A130" s="66" t="s">
        <v>493</v>
      </c>
    </row>
    <row r="131" spans="1:1" x14ac:dyDescent="0.2">
      <c r="A131" s="66" t="s">
        <v>551</v>
      </c>
    </row>
    <row r="132" spans="1:1" x14ac:dyDescent="0.2">
      <c r="A132" s="11" t="s">
        <v>552</v>
      </c>
    </row>
    <row r="133" spans="1:1" x14ac:dyDescent="0.2">
      <c r="A133" s="66"/>
    </row>
    <row r="134" spans="1:1" x14ac:dyDescent="0.2">
      <c r="A134" s="66"/>
    </row>
    <row r="135" spans="1:1" x14ac:dyDescent="0.2">
      <c r="A135" s="48"/>
    </row>
    <row r="136" spans="1:1" x14ac:dyDescent="0.2">
      <c r="A136" s="50"/>
    </row>
    <row r="137" spans="1:1" x14ac:dyDescent="0.2">
      <c r="A137" s="51"/>
    </row>
    <row r="138" spans="1:1" x14ac:dyDescent="0.2">
      <c r="A138" s="50"/>
    </row>
    <row r="139" spans="1:1" x14ac:dyDescent="0.2">
      <c r="A139" s="541"/>
    </row>
    <row r="140" spans="1:1" x14ac:dyDescent="0.2">
      <c r="A140" s="541"/>
    </row>
    <row r="141" spans="1:1" x14ac:dyDescent="0.2">
      <c r="A141" s="50"/>
    </row>
    <row r="142" spans="1:1" x14ac:dyDescent="0.2">
      <c r="A142" s="541"/>
    </row>
    <row r="143" spans="1:1" x14ac:dyDescent="0.2">
      <c r="A143" s="541"/>
    </row>
    <row r="144" spans="1:1" x14ac:dyDescent="0.2">
      <c r="A144" s="541"/>
    </row>
  </sheetData>
  <sheetProtection algorithmName="SHA-512" hashValue="0Om4rrOzytiLjVTZnC/FMwJj0NBJieUyhOZyagvVi14TKIq/8NKh9aza8xWcjTEan56WwfFDfsfTbx43yJImRg==" saltValue="+im/A9BcjIsZ6JhwGLDltw==" spinCount="100000" sheet="1" objects="1" scenarios="1"/>
  <mergeCells count="52">
    <mergeCell ref="A124:I124"/>
    <mergeCell ref="A22:A35"/>
    <mergeCell ref="B22:B35"/>
    <mergeCell ref="C22:C35"/>
    <mergeCell ref="D22:D35"/>
    <mergeCell ref="A63:A66"/>
    <mergeCell ref="B63:B66"/>
    <mergeCell ref="C63:C66"/>
    <mergeCell ref="D63:D66"/>
    <mergeCell ref="B60:B61"/>
    <mergeCell ref="C60:C61"/>
    <mergeCell ref="D60:D61"/>
    <mergeCell ref="A36:A43"/>
    <mergeCell ref="B36:B43"/>
    <mergeCell ref="C36:C43"/>
    <mergeCell ref="D36:D43"/>
    <mergeCell ref="A15:A18"/>
    <mergeCell ref="B15:B18"/>
    <mergeCell ref="C15:C18"/>
    <mergeCell ref="D15:D18"/>
    <mergeCell ref="A19:A21"/>
    <mergeCell ref="B19:B21"/>
    <mergeCell ref="C19:C21"/>
    <mergeCell ref="D19:D21"/>
    <mergeCell ref="A13:A14"/>
    <mergeCell ref="B13:B14"/>
    <mergeCell ref="C13:C14"/>
    <mergeCell ref="D13:D14"/>
    <mergeCell ref="A11:A12"/>
    <mergeCell ref="B11:B12"/>
    <mergeCell ref="C11:C12"/>
    <mergeCell ref="D11:D12"/>
    <mergeCell ref="A2:Q2"/>
    <mergeCell ref="A6:A7"/>
    <mergeCell ref="B6:B7"/>
    <mergeCell ref="C6:C7"/>
    <mergeCell ref="D6:D7"/>
    <mergeCell ref="E6:E7"/>
    <mergeCell ref="F6:F7"/>
    <mergeCell ref="G6:G7"/>
    <mergeCell ref="H6:H7"/>
    <mergeCell ref="I6:I7"/>
    <mergeCell ref="J6:J7"/>
    <mergeCell ref="K6:N6"/>
    <mergeCell ref="O6:O7"/>
    <mergeCell ref="P6:P7"/>
    <mergeCell ref="Q6:Q7"/>
    <mergeCell ref="A44:A49"/>
    <mergeCell ref="B44:B49"/>
    <mergeCell ref="C44:C49"/>
    <mergeCell ref="D44:D49"/>
    <mergeCell ref="A60:A61"/>
  </mergeCells>
  <phoneticPr fontId="60" type="noConversion"/>
  <conditionalFormatting sqref="H72:L73">
    <cfRule type="cellIs" dxfId="188" priority="38" operator="between">
      <formula>1</formula>
      <formula>10</formula>
    </cfRule>
    <cfRule type="cellIs" dxfId="187" priority="37" operator="between">
      <formula>0.01</formula>
      <formula>1</formula>
    </cfRule>
    <cfRule type="cellIs" dxfId="186" priority="39" operator="between">
      <formula>10</formula>
      <formula>100000</formula>
    </cfRule>
    <cfRule type="cellIs" dxfId="185" priority="40" operator="greaterThanOrEqual">
      <formula>100000</formula>
    </cfRule>
    <cfRule type="cellIs" dxfId="184" priority="41" operator="lessThanOrEqual">
      <formula>0.01</formula>
    </cfRule>
  </conditionalFormatting>
  <conditionalFormatting sqref="H75:L75">
    <cfRule type="cellIs" dxfId="183" priority="30" operator="lessThanOrEqual">
      <formula>0.01</formula>
    </cfRule>
    <cfRule type="cellIs" dxfId="182" priority="29" operator="greaterThanOrEqual">
      <formula>100000</formula>
    </cfRule>
    <cfRule type="cellIs" dxfId="181" priority="28" operator="between">
      <formula>10</formula>
      <formula>100000</formula>
    </cfRule>
    <cfRule type="cellIs" dxfId="180" priority="27" operator="between">
      <formula>1</formula>
      <formula>10</formula>
    </cfRule>
    <cfRule type="cellIs" dxfId="179" priority="26" operator="between">
      <formula>0.01</formula>
      <formula>1</formula>
    </cfRule>
  </conditionalFormatting>
  <conditionalFormatting sqref="J121:L121">
    <cfRule type="cellIs" dxfId="177" priority="19" operator="greaterThanOrEqual">
      <formula>100000</formula>
    </cfRule>
    <cfRule type="cellIs" dxfId="176" priority="20" operator="lessThanOrEqual">
      <formula>0.01</formula>
    </cfRule>
    <cfRule type="cellIs" dxfId="175" priority="18" operator="between">
      <formula>10</formula>
      <formula>100000</formula>
    </cfRule>
    <cfRule type="cellIs" dxfId="174" priority="17" operator="between">
      <formula>1</formula>
      <formula>10</formula>
    </cfRule>
    <cfRule type="cellIs" dxfId="173" priority="16" operator="between">
      <formula>0.01</formula>
      <formula>1</formula>
    </cfRule>
  </conditionalFormatting>
  <conditionalFormatting sqref="K11:K68 M58:M68 K70:K71 M70:M71 K74 M74">
    <cfRule type="cellIs" dxfId="172" priority="50" operator="between">
      <formula>1</formula>
      <formula>10</formula>
    </cfRule>
    <cfRule type="cellIs" dxfId="171" priority="49" operator="between">
      <formula>0.01</formula>
      <formula>1</formula>
    </cfRule>
    <cfRule type="cellIs" dxfId="170" priority="51" operator="between">
      <formula>10</formula>
      <formula>100000</formula>
    </cfRule>
    <cfRule type="cellIs" dxfId="169" priority="52" operator="greaterThanOrEqual">
      <formula>100000</formula>
    </cfRule>
    <cfRule type="cellIs" dxfId="168" priority="53" operator="lessThanOrEqual">
      <formula>0.01</formula>
    </cfRule>
  </conditionalFormatting>
  <conditionalFormatting sqref="K76:K93 M76:M93 K95:K119 M95:M119">
    <cfRule type="cellIs" dxfId="167" priority="6" operator="between">
      <formula>10</formula>
      <formula>100000</formula>
    </cfRule>
    <cfRule type="cellIs" dxfId="166" priority="7" operator="greaterThanOrEqual">
      <formula>100000</formula>
    </cfRule>
    <cfRule type="cellIs" dxfId="165" priority="8" operator="lessThanOrEqual">
      <formula>0.01</formula>
    </cfRule>
    <cfRule type="cellIs" dxfId="164" priority="5" operator="between">
      <formula>1</formula>
      <formula>10</formula>
    </cfRule>
    <cfRule type="cellIs" dxfId="163" priority="4" operator="between">
      <formula>0.01</formula>
      <formula>1</formula>
    </cfRule>
  </conditionalFormatting>
  <conditionalFormatting sqref="M11:M54">
    <cfRule type="cellIs" dxfId="162" priority="63" operator="lessThanOrEqual">
      <formula>0.01</formula>
    </cfRule>
    <cfRule type="cellIs" dxfId="161" priority="61" operator="between">
      <formula>10</formula>
      <formula>100000</formula>
    </cfRule>
    <cfRule type="cellIs" dxfId="160" priority="60" operator="between">
      <formula>1</formula>
      <formula>10</formula>
    </cfRule>
    <cfRule type="cellIs" dxfId="159" priority="59" operator="between">
      <formula>0.01</formula>
      <formula>1</formula>
    </cfRule>
    <cfRule type="cellIs" dxfId="158" priority="62" operator="greaterThanOrEqual">
      <formula>100000</formula>
    </cfRule>
  </conditionalFormatting>
  <conditionalFormatting sqref="N72:N73">
    <cfRule type="cellIs" dxfId="156" priority="35" operator="greaterThanOrEqual">
      <formula>100000</formula>
    </cfRule>
    <cfRule type="cellIs" dxfId="155" priority="34" operator="between">
      <formula>10</formula>
      <formula>100000</formula>
    </cfRule>
    <cfRule type="cellIs" dxfId="154" priority="33" operator="between">
      <formula>1</formula>
      <formula>10</formula>
    </cfRule>
    <cfRule type="cellIs" dxfId="153" priority="32" operator="between">
      <formula>0.01</formula>
      <formula>1</formula>
    </cfRule>
    <cfRule type="cellIs" dxfId="152" priority="36" operator="lessThanOrEqual">
      <formula>0.01</formula>
    </cfRule>
  </conditionalFormatting>
  <conditionalFormatting sqref="N75">
    <cfRule type="cellIs" dxfId="151" priority="22" operator="between">
      <formula>1</formula>
      <formula>10</formula>
    </cfRule>
    <cfRule type="cellIs" dxfId="150" priority="21" operator="between">
      <formula>0.01</formula>
      <formula>1</formula>
    </cfRule>
    <cfRule type="cellIs" dxfId="149" priority="25" operator="lessThanOrEqual">
      <formula>0.01</formula>
    </cfRule>
    <cfRule type="cellIs" dxfId="148" priority="24" operator="greaterThanOrEqual">
      <formula>100000</formula>
    </cfRule>
    <cfRule type="cellIs" dxfId="147" priority="23" operator="between">
      <formula>10</formula>
      <formula>100000</formula>
    </cfRule>
  </conditionalFormatting>
  <conditionalFormatting sqref="N121">
    <cfRule type="cellIs" dxfId="146" priority="13" operator="greaterThanOrEqual">
      <formula>100000</formula>
    </cfRule>
    <cfRule type="cellIs" dxfId="145" priority="14" operator="lessThanOrEqual">
      <formula>0.01</formula>
    </cfRule>
    <cfRule type="cellIs" dxfId="144" priority="12" operator="between">
      <formula>10</formula>
      <formula>100000</formula>
    </cfRule>
    <cfRule type="cellIs" dxfId="143" priority="11" operator="between">
      <formula>1</formula>
      <formula>10</formula>
    </cfRule>
    <cfRule type="cellIs" dxfId="142" priority="10" operator="between">
      <formula>0.01</formula>
      <formula>1</formula>
    </cfRule>
  </conditionalFormatting>
  <conditionalFormatting sqref="N108:O108">
    <cfRule type="cellIs" dxfId="141" priority="67" operator="greaterThanOrEqual">
      <formula>100000</formula>
    </cfRule>
    <cfRule type="cellIs" dxfId="140" priority="68" operator="lessThanOrEqual">
      <formula>0.01</formula>
    </cfRule>
    <cfRule type="cellIs" dxfId="139" priority="64" operator="between">
      <formula>0.01</formula>
      <formula>1</formula>
    </cfRule>
    <cfRule type="cellIs" dxfId="138" priority="65" operator="between">
      <formula>1</formula>
      <formula>10</formula>
    </cfRule>
    <cfRule type="cellIs" dxfId="137" priority="66" operator="between">
      <formula>10</formula>
      <formula>100000</formula>
    </cfRule>
  </conditionalFormatting>
  <conditionalFormatting sqref="O55:O57">
    <cfRule type="cellIs" dxfId="136" priority="54" operator="between">
      <formula>0.01</formula>
      <formula>1</formula>
    </cfRule>
    <cfRule type="cellIs" dxfId="135" priority="55" operator="between">
      <formula>1</formula>
      <formula>10</formula>
    </cfRule>
    <cfRule type="cellIs" dxfId="134" priority="56" operator="between">
      <formula>10</formula>
      <formula>100000</formula>
    </cfRule>
    <cfRule type="cellIs" dxfId="133" priority="57" operator="greaterThanOrEqual">
      <formula>100000</formula>
    </cfRule>
    <cfRule type="cellIs" dxfId="132" priority="58" operator="lessThanOrEqual">
      <formula>0.01</formula>
    </cfRule>
  </conditionalFormatting>
  <pageMargins left="0.7" right="0.7" top="0.75" bottom="0.75" header="0.3" footer="0.3"/>
  <pageSetup orientation="portrait" horizontalDpi="200" verticalDpi="200" r:id="rId1"/>
  <extLst>
    <ext xmlns:x14="http://schemas.microsoft.com/office/spreadsheetml/2009/9/main" uri="{78C0D931-6437-407d-A8EE-F0AAD7539E65}">
      <x14:conditionalFormattings>
        <x14:conditionalFormatting xmlns:xm="http://schemas.microsoft.com/office/excel/2006/main">
          <x14:cfRule type="expression" priority="3" id="{3CF11DFA-8901-43A8-BBA0-CFD22196FA30}">
            <xm:f>(VLOOKUP(I94,References!$B$8:$C$252,2,FALSE)="Secondary")</xm:f>
            <x14:dxf>
              <font>
                <strike val="0"/>
              </font>
              <fill>
                <patternFill>
                  <bgColor rgb="FFFFC000"/>
                </patternFill>
              </fill>
            </x14:dxf>
          </x14:cfRule>
          <xm:sqref>J94</xm:sqref>
        </x14:conditionalFormatting>
        <x14:conditionalFormatting xmlns:xm="http://schemas.microsoft.com/office/excel/2006/main">
          <x14:cfRule type="expression" priority="2" id="{8494B96E-333D-439E-83A5-22FEC9130B08}">
            <xm:f>(VLOOKUP(L94,References!$B$8:$C$252,2,FALSE)="Secondary")</xm:f>
            <x14:dxf>
              <font>
                <strike val="0"/>
              </font>
              <fill>
                <patternFill>
                  <bgColor rgb="FFFFC000"/>
                </patternFill>
              </fill>
            </x14:dxf>
          </x14:cfRule>
          <xm:sqref>M94</xm:sqref>
        </x14:conditionalFormatting>
        <x14:conditionalFormatting xmlns:xm="http://schemas.microsoft.com/office/excel/2006/main">
          <x14:cfRule type="expression" priority="83" id="{385E8C71-C49B-406B-97A9-BEC9314CAAC4}">
            <xm:f>(VLOOKUP(O84,References!$B$8:$C$252,2,FALSE)="Secondary")</xm:f>
            <x14:dxf>
              <font>
                <strike val="0"/>
              </font>
              <fill>
                <patternFill>
                  <bgColor rgb="FFFFC000"/>
                </patternFill>
              </fill>
            </x14:dxf>
          </x14:cfRule>
          <xm:sqref>P84 Q121</xm:sqref>
        </x14:conditionalFormatting>
        <x14:conditionalFormatting xmlns:xm="http://schemas.microsoft.com/office/excel/2006/main">
          <x14:cfRule type="expression" priority="82" id="{8AEE4484-12B7-491D-B175-97954781577A}">
            <xm:f>(VLOOKUP(P11,References!$B$8:$C$252,2,FALSE)="Secondary")</xm:f>
            <x14:dxf>
              <font>
                <strike val="0"/>
              </font>
              <fill>
                <patternFill>
                  <bgColor rgb="FFFFC000"/>
                </patternFill>
              </fill>
            </x14:dxf>
          </x14:cfRule>
          <xm:sqref>Q11:Q53</xm:sqref>
        </x14:conditionalFormatting>
        <x14:conditionalFormatting xmlns:xm="http://schemas.microsoft.com/office/excel/2006/main">
          <x14:cfRule type="expression" priority="43" id="{70ACA40D-5992-443B-8F52-733AA813D60A}">
            <xm:f>(VLOOKUP(P58,References!$B$8:$C$252,2,FALSE)="Secondary")</xm:f>
            <x14:dxf>
              <font>
                <strike val="0"/>
              </font>
              <fill>
                <patternFill>
                  <bgColor rgb="FFFFC000"/>
                </patternFill>
              </fill>
            </x14:dxf>
          </x14:cfRule>
          <xm:sqref>Q58:Q69</xm:sqref>
        </x14:conditionalFormatting>
        <x14:conditionalFormatting xmlns:xm="http://schemas.microsoft.com/office/excel/2006/main">
          <x14:cfRule type="expression" priority="31" id="{E0CD28EC-498B-4F22-AC74-E8641B3BB4F3}">
            <xm:f>(VLOOKUP(P72,References!$B$8:$C$252,2,FALSE)="Secondary")</xm:f>
            <x14:dxf>
              <font>
                <strike val="0"/>
              </font>
              <fill>
                <patternFill>
                  <bgColor rgb="FFFFC000"/>
                </patternFill>
              </fill>
            </x14:dxf>
          </x14:cfRule>
          <xm:sqref>Q72:Q79</xm:sqref>
        </x14:conditionalFormatting>
        <x14:conditionalFormatting xmlns:xm="http://schemas.microsoft.com/office/excel/2006/main">
          <x14:cfRule type="expression" priority="77" id="{9C6AB3D3-0F4D-4043-8ECC-37A80DC3CDAC}">
            <xm:f>(VLOOKUP(P81,References!$B$8:$C$252,2,FALSE)="Secondary")</xm:f>
            <x14:dxf>
              <font>
                <strike val="0"/>
              </font>
              <fill>
                <patternFill>
                  <bgColor rgb="FFFFC000"/>
                </patternFill>
              </fill>
            </x14:dxf>
          </x14:cfRule>
          <xm:sqref>Q81:Q84</xm:sqref>
        </x14:conditionalFormatting>
        <x14:conditionalFormatting xmlns:xm="http://schemas.microsoft.com/office/excel/2006/main">
          <x14:cfRule type="expression" priority="79" id="{E73BABE6-0CA1-4E06-AF3A-5EC921064E09}">
            <xm:f>(VLOOKUP(P88,References!$B$8:$C$252,2,FALSE)="Secondary")</xm:f>
            <x14:dxf>
              <font>
                <strike val="0"/>
              </font>
              <fill>
                <patternFill>
                  <bgColor rgb="FFFFC000"/>
                </patternFill>
              </fill>
            </x14:dxf>
          </x14:cfRule>
          <xm:sqref>Q88:Q92</xm:sqref>
        </x14:conditionalFormatting>
        <x14:conditionalFormatting xmlns:xm="http://schemas.microsoft.com/office/excel/2006/main">
          <x14:cfRule type="expression" priority="76" id="{8A779192-9398-4297-85B3-7D50683EA9D6}">
            <xm:f>(VLOOKUP(P94,References!$B$8:$C$252,2,FALSE)="Secondary")</xm:f>
            <x14:dxf>
              <font>
                <strike val="0"/>
              </font>
              <fill>
                <patternFill>
                  <bgColor rgb="FFFFC000"/>
                </patternFill>
              </fill>
            </x14:dxf>
          </x14:cfRule>
          <xm:sqref>Q94:Q97</xm:sqref>
        </x14:conditionalFormatting>
        <x14:conditionalFormatting xmlns:xm="http://schemas.microsoft.com/office/excel/2006/main">
          <x14:cfRule type="expression" priority="75" id="{038E7B59-83AF-458A-84F7-AC2E7EA4A97A}">
            <xm:f>(VLOOKUP(P99,References!$B$8:$C$252,2,FALSE)="Secondary")</xm:f>
            <x14:dxf>
              <font>
                <strike val="0"/>
              </font>
              <fill>
                <patternFill>
                  <bgColor rgb="FFFFC000"/>
                </patternFill>
              </fill>
            </x14:dxf>
          </x14:cfRule>
          <xm:sqref>Q99:Q101</xm:sqref>
        </x14:conditionalFormatting>
        <x14:conditionalFormatting xmlns:xm="http://schemas.microsoft.com/office/excel/2006/main">
          <x14:cfRule type="expression" priority="74" id="{A3F4423E-BF5F-4D17-BF11-509996312F7D}">
            <xm:f>(VLOOKUP(P103,References!$B$8:$C$252,2,FALSE)="Secondary")</xm:f>
            <x14:dxf>
              <font>
                <strike val="0"/>
              </font>
              <fill>
                <patternFill>
                  <bgColor rgb="FFFFC000"/>
                </patternFill>
              </fill>
            </x14:dxf>
          </x14:cfRule>
          <xm:sqref>Q103:Q106</xm:sqref>
        </x14:conditionalFormatting>
        <x14:conditionalFormatting xmlns:xm="http://schemas.microsoft.com/office/excel/2006/main">
          <x14:cfRule type="expression" priority="70" id="{F5D8BD3A-D75F-479E-83CB-70543571AB60}">
            <xm:f>(VLOOKUP(P109,References!$B$8:$C$252,2,FALSE)="Secondary")</xm:f>
            <x14:dxf>
              <font>
                <strike val="0"/>
              </font>
              <fill>
                <patternFill>
                  <bgColor rgb="FFFFC000"/>
                </patternFill>
              </fill>
            </x14:dxf>
          </x14:cfRule>
          <xm:sqref>Q109:Q113</xm:sqref>
        </x14:conditionalFormatting>
        <x14:conditionalFormatting xmlns:xm="http://schemas.microsoft.com/office/excel/2006/main">
          <x14:cfRule type="expression" priority="72" id="{D020BBE5-EE52-4C9B-9D8A-7506254223E6}">
            <xm:f>(VLOOKUP(P115,References!$B$8:$C$252,2,FALSE)="Secondary")</xm:f>
            <x14:dxf>
              <font>
                <strike val="0"/>
              </font>
              <fill>
                <patternFill>
                  <bgColor rgb="FFFFC000"/>
                </patternFill>
              </fill>
            </x14:dxf>
          </x14:cfRule>
          <xm:sqref>Q115:Q117</xm:sqref>
        </x14:conditionalFormatting>
        <x14:conditionalFormatting xmlns:xm="http://schemas.microsoft.com/office/excel/2006/main">
          <x14:cfRule type="expression" priority="71" id="{EA539027-8EE3-471F-B8E1-4DD1AD7A8DC8}">
            <xm:f>(VLOOKUP(P119,References!$B$8:$C$252,2,FALSE)="Secondary")</xm:f>
            <x14:dxf>
              <font>
                <strike val="0"/>
              </font>
              <fill>
                <patternFill>
                  <bgColor rgb="FFFFC000"/>
                </patternFill>
              </fill>
            </x14:dxf>
          </x14:cfRule>
          <xm:sqref>Q119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9A66-6BB1-4FDF-B76A-543BC3F7367E}">
  <sheetPr codeName="Sheet6">
    <tabColor rgb="FF92D050"/>
    <pageSetUpPr fitToPage="1"/>
  </sheetPr>
  <dimension ref="A1:AM328"/>
  <sheetViews>
    <sheetView showWhiteSpace="0" zoomScale="110" zoomScaleNormal="110" zoomScalePageLayoutView="60" workbookViewId="0">
      <pane ySplit="7" topLeftCell="A8" activePane="bottomLeft" state="frozen"/>
      <selection pane="bottomLeft" activeCell="A3" sqref="A3"/>
    </sheetView>
  </sheetViews>
  <sheetFormatPr baseColWidth="10" defaultColWidth="7.6640625" defaultRowHeight="15" x14ac:dyDescent="0.2"/>
  <cols>
    <col min="1" max="1" width="50.5" style="10" customWidth="1"/>
    <col min="2" max="2" width="13.1640625" style="3" customWidth="1"/>
    <col min="3" max="3" width="18.1640625" style="3" customWidth="1"/>
    <col min="4" max="4" width="22.1640625" style="20" customWidth="1"/>
    <col min="5" max="5" width="8.6640625" style="6" customWidth="1"/>
    <col min="6" max="6" width="26.1640625" style="6" customWidth="1"/>
    <col min="7" max="7" width="31.5" style="6" customWidth="1"/>
    <col min="8" max="8" width="44.6640625" style="6" hidden="1" customWidth="1"/>
    <col min="9" max="9" width="11" style="5" customWidth="1"/>
    <col min="10" max="37" width="18.6640625" style="6" customWidth="1"/>
    <col min="38" max="16384" width="7.6640625" style="6"/>
  </cols>
  <sheetData>
    <row r="1" spans="1:21" ht="21" x14ac:dyDescent="0.25">
      <c r="A1" s="4" t="s">
        <v>6</v>
      </c>
      <c r="B1" s="5"/>
      <c r="C1" s="5"/>
    </row>
    <row r="2" spans="1:21" x14ac:dyDescent="0.2">
      <c r="A2" s="931" t="s">
        <v>649</v>
      </c>
      <c r="B2" s="931"/>
      <c r="C2" s="931"/>
      <c r="D2" s="931"/>
      <c r="E2" s="931"/>
      <c r="F2" s="931"/>
      <c r="G2" s="931"/>
      <c r="H2" s="931"/>
      <c r="I2" s="931"/>
      <c r="J2" s="528"/>
      <c r="K2" s="528"/>
      <c r="L2" s="528"/>
      <c r="M2" s="528"/>
      <c r="N2" s="528"/>
      <c r="O2" s="528"/>
      <c r="P2" s="528"/>
      <c r="Q2" s="528"/>
      <c r="R2" s="528"/>
      <c r="S2" s="528"/>
      <c r="T2" s="528"/>
      <c r="U2" s="528"/>
    </row>
    <row r="3" spans="1:21" s="2" customFormat="1" x14ac:dyDescent="0.2">
      <c r="A3" s="13"/>
      <c r="B3" s="3"/>
      <c r="C3" s="3"/>
      <c r="D3" s="21"/>
      <c r="G3" s="12"/>
      <c r="I3" s="3"/>
    </row>
    <row r="4" spans="1:21" s="2" customFormat="1" x14ac:dyDescent="0.2">
      <c r="A4" s="22"/>
      <c r="B4" s="3"/>
      <c r="C4" s="3"/>
      <c r="D4" s="21"/>
      <c r="G4" s="12"/>
      <c r="I4" s="3"/>
    </row>
    <row r="5" spans="1:21" s="7" customFormat="1" ht="20" thickBot="1" x14ac:dyDescent="0.3">
      <c r="A5" s="113" t="s">
        <v>650</v>
      </c>
      <c r="B5" s="3"/>
      <c r="C5" s="3"/>
      <c r="D5" s="43"/>
      <c r="E5" s="43"/>
      <c r="F5" s="6"/>
      <c r="G5" s="6"/>
      <c r="H5" s="43"/>
      <c r="I5" s="211"/>
      <c r="J5" s="6"/>
      <c r="K5" s="6"/>
      <c r="L5" s="6"/>
    </row>
    <row r="6" spans="1:21" s="86" customFormat="1" ht="44" thickBot="1" x14ac:dyDescent="0.3">
      <c r="A6" s="252" t="s">
        <v>9</v>
      </c>
      <c r="B6" s="89" t="s">
        <v>10</v>
      </c>
      <c r="C6" s="89" t="s">
        <v>651</v>
      </c>
      <c r="D6" s="89" t="s">
        <v>652</v>
      </c>
      <c r="E6" s="89" t="s">
        <v>492</v>
      </c>
      <c r="F6" s="89" t="s">
        <v>653</v>
      </c>
      <c r="G6" s="89" t="s">
        <v>654</v>
      </c>
      <c r="H6" s="253" t="s">
        <v>655</v>
      </c>
      <c r="I6" s="254" t="s">
        <v>656</v>
      </c>
      <c r="J6" s="85"/>
      <c r="K6" s="85"/>
      <c r="L6" s="85"/>
    </row>
    <row r="7" spans="1:21" s="44" customFormat="1" ht="17" thickBot="1" x14ac:dyDescent="0.25">
      <c r="A7" s="204" t="s">
        <v>22</v>
      </c>
      <c r="B7" s="197" t="s">
        <v>23</v>
      </c>
      <c r="C7" s="197"/>
      <c r="D7" s="341"/>
      <c r="E7" s="198"/>
      <c r="F7" s="198"/>
      <c r="G7" s="198"/>
      <c r="H7" s="198"/>
      <c r="I7" s="212"/>
      <c r="J7" s="6"/>
      <c r="K7" s="6"/>
      <c r="L7" s="6"/>
    </row>
    <row r="8" spans="1:21" customFormat="1" ht="16" x14ac:dyDescent="0.2">
      <c r="A8" s="932" t="s">
        <v>24</v>
      </c>
      <c r="B8" s="920" t="s">
        <v>25</v>
      </c>
      <c r="C8" s="611" t="s">
        <v>657</v>
      </c>
      <c r="D8" s="612">
        <v>0.13</v>
      </c>
      <c r="E8" s="611" t="s">
        <v>30</v>
      </c>
      <c r="F8" s="613" t="s">
        <v>658</v>
      </c>
      <c r="G8" s="613" t="s">
        <v>659</v>
      </c>
      <c r="H8" s="614" t="s">
        <v>660</v>
      </c>
      <c r="I8" s="99">
        <f>VLOOKUP(H8,References!$B$7:$F$249,5,FALSE)</f>
        <v>102</v>
      </c>
      <c r="J8" s="66"/>
      <c r="K8" s="66"/>
    </row>
    <row r="9" spans="1:21" customFormat="1" ht="16" x14ac:dyDescent="0.2">
      <c r="A9" s="884"/>
      <c r="B9" s="886"/>
      <c r="C9" s="615" t="s">
        <v>657</v>
      </c>
      <c r="D9" s="616">
        <v>0.24</v>
      </c>
      <c r="E9" s="615" t="s">
        <v>30</v>
      </c>
      <c r="F9" s="617" t="s">
        <v>658</v>
      </c>
      <c r="G9" s="617" t="s">
        <v>659</v>
      </c>
      <c r="H9" s="27" t="s">
        <v>660</v>
      </c>
      <c r="I9" s="100">
        <f>VLOOKUP(H9,References!$B$7:$F$249,5,FALSE)</f>
        <v>102</v>
      </c>
      <c r="J9" s="66"/>
      <c r="K9" s="66"/>
    </row>
    <row r="10" spans="1:21" customFormat="1" ht="16" x14ac:dyDescent="0.2">
      <c r="A10" s="885"/>
      <c r="B10" s="887"/>
      <c r="C10" s="419" t="s">
        <v>657</v>
      </c>
      <c r="D10" s="619">
        <v>-2.0299999999999998</v>
      </c>
      <c r="E10" s="419" t="s">
        <v>30</v>
      </c>
      <c r="F10" s="620" t="s">
        <v>658</v>
      </c>
      <c r="G10" s="620" t="s">
        <v>659</v>
      </c>
      <c r="H10" s="621" t="s">
        <v>660</v>
      </c>
      <c r="I10" s="122">
        <f>VLOOKUP(H10,References!$B$7:$F$249,5,FALSE)</f>
        <v>102</v>
      </c>
      <c r="J10" s="66"/>
      <c r="K10" s="66"/>
    </row>
    <row r="11" spans="1:21" customFormat="1" ht="16" x14ac:dyDescent="0.2">
      <c r="A11" s="618" t="s">
        <v>516</v>
      </c>
      <c r="B11" s="419" t="s">
        <v>38</v>
      </c>
      <c r="C11" s="419"/>
      <c r="D11" s="419"/>
      <c r="E11" s="419"/>
      <c r="F11" s="419"/>
      <c r="G11" s="419"/>
      <c r="H11" s="419"/>
      <c r="I11" s="498"/>
      <c r="J11" s="66"/>
      <c r="K11" s="66"/>
    </row>
    <row r="12" spans="1:21" s="44" customFormat="1" ht="16" x14ac:dyDescent="0.2">
      <c r="A12" s="838" t="s">
        <v>41</v>
      </c>
      <c r="B12" s="869" t="s">
        <v>42</v>
      </c>
      <c r="C12" s="149" t="s">
        <v>657</v>
      </c>
      <c r="D12" s="87" t="s">
        <v>661</v>
      </c>
      <c r="E12" s="392" t="s">
        <v>662</v>
      </c>
      <c r="F12" s="617" t="s">
        <v>663</v>
      </c>
      <c r="G12" s="617" t="s">
        <v>664</v>
      </c>
      <c r="H12" s="622" t="s">
        <v>665</v>
      </c>
      <c r="I12" s="100">
        <f>VLOOKUP(H12,References!$B$7:$F$249,5,FALSE)</f>
        <v>144</v>
      </c>
      <c r="J12" s="6"/>
      <c r="K12" s="229"/>
      <c r="L12" s="6"/>
    </row>
    <row r="13" spans="1:21" s="44" customFormat="1" ht="16" x14ac:dyDescent="0.2">
      <c r="A13" s="838"/>
      <c r="B13" s="869"/>
      <c r="C13" s="149" t="s">
        <v>657</v>
      </c>
      <c r="D13" s="87" t="s">
        <v>666</v>
      </c>
      <c r="E13" s="58" t="s">
        <v>667</v>
      </c>
      <c r="F13" s="617" t="s">
        <v>668</v>
      </c>
      <c r="G13" s="617" t="s">
        <v>669</v>
      </c>
      <c r="H13" s="622" t="s">
        <v>670</v>
      </c>
      <c r="I13" s="100">
        <f>VLOOKUP(H13,References!$B$7:$F$249,5,FALSE)</f>
        <v>43</v>
      </c>
      <c r="J13" s="6"/>
      <c r="K13" s="268"/>
      <c r="L13" s="6"/>
    </row>
    <row r="14" spans="1:21" s="44" customFormat="1" ht="16" x14ac:dyDescent="0.2">
      <c r="A14" s="838"/>
      <c r="B14" s="869"/>
      <c r="C14" s="149" t="s">
        <v>671</v>
      </c>
      <c r="D14" s="87" t="s">
        <v>672</v>
      </c>
      <c r="E14" s="392" t="s">
        <v>662</v>
      </c>
      <c r="F14" s="617" t="s">
        <v>663</v>
      </c>
      <c r="G14" s="617" t="s">
        <v>664</v>
      </c>
      <c r="H14" s="622" t="s">
        <v>673</v>
      </c>
      <c r="I14" s="100">
        <f>VLOOKUP(H14,References!$B$7:$F$249,5,FALSE)</f>
        <v>91</v>
      </c>
      <c r="J14" s="6"/>
      <c r="K14" s="298"/>
      <c r="L14" s="6"/>
    </row>
    <row r="15" spans="1:21" s="44" customFormat="1" ht="16" x14ac:dyDescent="0.2">
      <c r="A15" s="838"/>
      <c r="B15" s="869"/>
      <c r="C15" s="149" t="s">
        <v>657</v>
      </c>
      <c r="D15" s="623" t="s">
        <v>674</v>
      </c>
      <c r="E15" s="58" t="s">
        <v>667</v>
      </c>
      <c r="F15" s="617" t="s">
        <v>668</v>
      </c>
      <c r="G15" s="617" t="s">
        <v>669</v>
      </c>
      <c r="H15" s="622" t="s">
        <v>675</v>
      </c>
      <c r="I15" s="100">
        <f>VLOOKUP(H15,References!$B$7:$F$249,5,FALSE)</f>
        <v>97</v>
      </c>
      <c r="J15" s="6"/>
      <c r="K15" s="6"/>
      <c r="L15" s="6"/>
    </row>
    <row r="16" spans="1:21" s="44" customFormat="1" ht="16" x14ac:dyDescent="0.2">
      <c r="A16" s="838"/>
      <c r="B16" s="869"/>
      <c r="C16" s="149" t="s">
        <v>671</v>
      </c>
      <c r="D16" s="87" t="s">
        <v>676</v>
      </c>
      <c r="E16" s="392" t="s">
        <v>677</v>
      </c>
      <c r="F16" s="617" t="s">
        <v>668</v>
      </c>
      <c r="G16" s="617" t="s">
        <v>664</v>
      </c>
      <c r="H16" s="622" t="s">
        <v>678</v>
      </c>
      <c r="I16" s="100">
        <f>VLOOKUP(H16,References!$B$7:$F$249,5,FALSE)</f>
        <v>7</v>
      </c>
      <c r="J16" s="6"/>
      <c r="K16" s="6"/>
      <c r="L16" s="6"/>
    </row>
    <row r="17" spans="1:21" s="44" customFormat="1" ht="16" x14ac:dyDescent="0.2">
      <c r="A17" s="838"/>
      <c r="B17" s="869"/>
      <c r="C17" s="182" t="s">
        <v>657</v>
      </c>
      <c r="D17" s="624" t="s">
        <v>679</v>
      </c>
      <c r="E17" s="625" t="s">
        <v>662</v>
      </c>
      <c r="F17" s="620" t="s">
        <v>663</v>
      </c>
      <c r="G17" s="620" t="s">
        <v>664</v>
      </c>
      <c r="H17" s="620" t="s">
        <v>680</v>
      </c>
      <c r="I17" s="122">
        <f>VLOOKUP(H17,References!$B$7:$F$249,5,FALSE)</f>
        <v>92</v>
      </c>
      <c r="J17" s="6"/>
      <c r="K17" s="6"/>
      <c r="L17" s="6"/>
    </row>
    <row r="18" spans="1:21" s="44" customFormat="1" ht="16" x14ac:dyDescent="0.2">
      <c r="A18" s="839" t="s">
        <v>51</v>
      </c>
      <c r="B18" s="850" t="s">
        <v>52</v>
      </c>
      <c r="C18" s="149" t="s">
        <v>657</v>
      </c>
      <c r="D18" s="87" t="s">
        <v>681</v>
      </c>
      <c r="E18" s="58" t="s">
        <v>667</v>
      </c>
      <c r="F18" s="617" t="s">
        <v>663</v>
      </c>
      <c r="G18" s="617" t="s">
        <v>682</v>
      </c>
      <c r="H18" s="622" t="s">
        <v>683</v>
      </c>
      <c r="I18" s="100">
        <f>VLOOKUP(H18,References!$B$7:$F$249,5,FALSE)</f>
        <v>151</v>
      </c>
      <c r="J18" s="6"/>
      <c r="K18" s="6"/>
      <c r="L18" s="6"/>
    </row>
    <row r="19" spans="1:21" s="44" customFormat="1" ht="16" x14ac:dyDescent="0.2">
      <c r="A19" s="838"/>
      <c r="B19" s="869"/>
      <c r="C19" s="149" t="s">
        <v>657</v>
      </c>
      <c r="D19" s="87" t="s">
        <v>684</v>
      </c>
      <c r="E19" s="58" t="s">
        <v>662</v>
      </c>
      <c r="F19" s="617" t="s">
        <v>663</v>
      </c>
      <c r="G19" s="617" t="s">
        <v>664</v>
      </c>
      <c r="H19" s="622" t="s">
        <v>665</v>
      </c>
      <c r="I19" s="100">
        <f>VLOOKUP(H19,References!$B$7:$F$249,5,FALSE)</f>
        <v>144</v>
      </c>
      <c r="J19" s="6"/>
      <c r="K19" s="6"/>
      <c r="L19" s="6"/>
    </row>
    <row r="20" spans="1:21" s="44" customFormat="1" ht="16" x14ac:dyDescent="0.2">
      <c r="A20" s="838"/>
      <c r="B20" s="869"/>
      <c r="C20" s="149" t="s">
        <v>657</v>
      </c>
      <c r="D20" s="87" t="s">
        <v>685</v>
      </c>
      <c r="E20" s="58" t="s">
        <v>667</v>
      </c>
      <c r="F20" s="617" t="s">
        <v>668</v>
      </c>
      <c r="G20" s="617" t="s">
        <v>669</v>
      </c>
      <c r="H20" s="622" t="s">
        <v>670</v>
      </c>
      <c r="I20" s="100">
        <f>VLOOKUP(H20,References!$B$7:$F$249,5,FALSE)</f>
        <v>43</v>
      </c>
      <c r="J20" s="6"/>
      <c r="K20" s="6"/>
      <c r="L20" s="6"/>
    </row>
    <row r="21" spans="1:21" s="44" customFormat="1" ht="16" x14ac:dyDescent="0.2">
      <c r="A21" s="838"/>
      <c r="B21" s="869"/>
      <c r="C21" s="149" t="s">
        <v>671</v>
      </c>
      <c r="D21" s="87" t="s">
        <v>686</v>
      </c>
      <c r="E21" s="58" t="s">
        <v>662</v>
      </c>
      <c r="F21" s="617" t="s">
        <v>663</v>
      </c>
      <c r="G21" s="617" t="s">
        <v>664</v>
      </c>
      <c r="H21" s="622" t="s">
        <v>673</v>
      </c>
      <c r="I21" s="100">
        <f>VLOOKUP(H21,References!$B$7:$F$249,5,FALSE)</f>
        <v>91</v>
      </c>
      <c r="J21" s="6"/>
      <c r="K21" s="6"/>
      <c r="L21" s="6"/>
    </row>
    <row r="22" spans="1:21" s="44" customFormat="1" ht="16" x14ac:dyDescent="0.2">
      <c r="A22" s="838"/>
      <c r="B22" s="869"/>
      <c r="C22" s="149" t="s">
        <v>671</v>
      </c>
      <c r="D22" s="87" t="s">
        <v>687</v>
      </c>
      <c r="E22" s="58" t="s">
        <v>662</v>
      </c>
      <c r="F22" s="617" t="s">
        <v>668</v>
      </c>
      <c r="G22" s="617" t="s">
        <v>664</v>
      </c>
      <c r="H22" s="622" t="s">
        <v>688</v>
      </c>
      <c r="I22" s="100">
        <f>VLOOKUP(H22,References!$B$7:$F$249,5,FALSE)</f>
        <v>130</v>
      </c>
      <c r="J22" s="6"/>
      <c r="K22" s="6"/>
      <c r="L22" s="6"/>
    </row>
    <row r="23" spans="1:21" s="44" customFormat="1" ht="16" x14ac:dyDescent="0.2">
      <c r="A23" s="838"/>
      <c r="B23" s="869"/>
      <c r="C23" s="149" t="s">
        <v>657</v>
      </c>
      <c r="D23" s="87" t="s">
        <v>689</v>
      </c>
      <c r="E23" s="58" t="s">
        <v>667</v>
      </c>
      <c r="F23" s="617" t="s">
        <v>668</v>
      </c>
      <c r="G23" s="617" t="s">
        <v>669</v>
      </c>
      <c r="H23" s="622" t="s">
        <v>675</v>
      </c>
      <c r="I23" s="100">
        <f>VLOOKUP(H23,References!$B$7:$F$249,5,FALSE)</f>
        <v>97</v>
      </c>
      <c r="J23" s="6"/>
      <c r="K23" s="6"/>
      <c r="L23" s="6"/>
    </row>
    <row r="24" spans="1:21" s="44" customFormat="1" ht="16" x14ac:dyDescent="0.2">
      <c r="A24" s="840"/>
      <c r="B24" s="851"/>
      <c r="C24" s="182" t="s">
        <v>671</v>
      </c>
      <c r="D24" s="624" t="s">
        <v>690</v>
      </c>
      <c r="E24" s="59" t="s">
        <v>677</v>
      </c>
      <c r="F24" s="620" t="s">
        <v>668</v>
      </c>
      <c r="G24" s="620" t="s">
        <v>664</v>
      </c>
      <c r="H24" s="626" t="s">
        <v>678</v>
      </c>
      <c r="I24" s="122">
        <f>VLOOKUP(H24,References!$B$7:$F$249,5,FALSE)</f>
        <v>7</v>
      </c>
      <c r="J24" s="6"/>
      <c r="K24" s="6"/>
      <c r="L24" s="6"/>
    </row>
    <row r="25" spans="1:21" ht="16" x14ac:dyDescent="0.2">
      <c r="A25" s="838" t="s">
        <v>57</v>
      </c>
      <c r="B25" s="869" t="s">
        <v>58</v>
      </c>
      <c r="C25" s="149" t="s">
        <v>657</v>
      </c>
      <c r="D25" s="87" t="s">
        <v>691</v>
      </c>
      <c r="E25" s="392" t="s">
        <v>662</v>
      </c>
      <c r="F25" s="617" t="s">
        <v>663</v>
      </c>
      <c r="G25" s="617" t="s">
        <v>664</v>
      </c>
      <c r="H25" s="622" t="s">
        <v>692</v>
      </c>
      <c r="I25" s="100">
        <f>VLOOKUP(H25,References!$B$7:$F$249,5,FALSE)</f>
        <v>69</v>
      </c>
      <c r="M25" s="44"/>
      <c r="N25" s="44"/>
      <c r="O25" s="44"/>
      <c r="P25" s="44"/>
      <c r="Q25" s="44"/>
      <c r="R25" s="44"/>
      <c r="S25" s="44"/>
      <c r="T25" s="44"/>
      <c r="U25" s="44"/>
    </row>
    <row r="26" spans="1:21" ht="16" x14ac:dyDescent="0.2">
      <c r="A26" s="838"/>
      <c r="B26" s="869"/>
      <c r="C26" s="149" t="s">
        <v>657</v>
      </c>
      <c r="D26" s="87" t="s">
        <v>693</v>
      </c>
      <c r="E26" s="392" t="s">
        <v>662</v>
      </c>
      <c r="F26" s="617" t="s">
        <v>663</v>
      </c>
      <c r="G26" s="617" t="s">
        <v>664</v>
      </c>
      <c r="H26" s="622" t="s">
        <v>665</v>
      </c>
      <c r="I26" s="100">
        <f>VLOOKUP(H26,References!$B$7:$F$249,5,FALSE)</f>
        <v>144</v>
      </c>
      <c r="M26" s="44"/>
      <c r="N26" s="44"/>
      <c r="O26" s="44"/>
      <c r="P26" s="44"/>
      <c r="Q26" s="44"/>
      <c r="R26" s="44"/>
      <c r="S26" s="44"/>
      <c r="T26" s="44"/>
      <c r="U26" s="44"/>
    </row>
    <row r="27" spans="1:21" ht="16" x14ac:dyDescent="0.2">
      <c r="A27" s="838"/>
      <c r="B27" s="869"/>
      <c r="C27" s="149" t="s">
        <v>657</v>
      </c>
      <c r="D27" s="87" t="s">
        <v>694</v>
      </c>
      <c r="E27" s="58" t="s">
        <v>667</v>
      </c>
      <c r="F27" s="617" t="s">
        <v>668</v>
      </c>
      <c r="G27" s="617" t="s">
        <v>669</v>
      </c>
      <c r="H27" s="622" t="s">
        <v>670</v>
      </c>
      <c r="I27" s="100">
        <f>VLOOKUP(H27,References!$B$7:$F$249,5,FALSE)</f>
        <v>43</v>
      </c>
      <c r="M27" s="44"/>
      <c r="N27" s="44"/>
      <c r="O27" s="44"/>
      <c r="P27" s="44"/>
      <c r="Q27" s="44"/>
      <c r="R27" s="44"/>
      <c r="S27" s="44"/>
      <c r="T27" s="44"/>
      <c r="U27" s="44"/>
    </row>
    <row r="28" spans="1:21" ht="16" x14ac:dyDescent="0.2">
      <c r="A28" s="838"/>
      <c r="B28" s="869"/>
      <c r="C28" s="149" t="s">
        <v>657</v>
      </c>
      <c r="D28" s="87" t="s">
        <v>695</v>
      </c>
      <c r="E28" s="392" t="s">
        <v>662</v>
      </c>
      <c r="F28" s="617" t="s">
        <v>696</v>
      </c>
      <c r="G28" s="617" t="s">
        <v>664</v>
      </c>
      <c r="H28" s="622" t="s">
        <v>697</v>
      </c>
      <c r="I28" s="100">
        <f>VLOOKUP(H28,References!$B$7:$F$249,5,FALSE)</f>
        <v>21</v>
      </c>
      <c r="M28" s="44"/>
      <c r="N28" s="44"/>
      <c r="O28" s="44"/>
      <c r="P28" s="44"/>
      <c r="Q28" s="44"/>
      <c r="R28" s="44"/>
      <c r="S28" s="44"/>
      <c r="T28" s="44"/>
      <c r="U28" s="44"/>
    </row>
    <row r="29" spans="1:21" ht="16" x14ac:dyDescent="0.2">
      <c r="A29" s="838"/>
      <c r="B29" s="869"/>
      <c r="C29" s="149" t="s">
        <v>657</v>
      </c>
      <c r="D29" s="87" t="s">
        <v>698</v>
      </c>
      <c r="E29" s="392" t="s">
        <v>662</v>
      </c>
      <c r="F29" s="617" t="s">
        <v>663</v>
      </c>
      <c r="G29" s="617" t="s">
        <v>664</v>
      </c>
      <c r="H29" s="622" t="s">
        <v>699</v>
      </c>
      <c r="I29" s="100">
        <f>VLOOKUP(H29,References!$B$7:$F$249,5,FALSE)</f>
        <v>27</v>
      </c>
      <c r="M29" s="44"/>
      <c r="N29" s="44"/>
      <c r="O29" s="44"/>
      <c r="P29" s="44"/>
      <c r="Q29" s="44"/>
      <c r="R29" s="44"/>
      <c r="S29" s="44"/>
      <c r="T29" s="44"/>
      <c r="U29" s="44"/>
    </row>
    <row r="30" spans="1:21" ht="16" x14ac:dyDescent="0.2">
      <c r="A30" s="838"/>
      <c r="B30" s="869"/>
      <c r="C30" s="149" t="s">
        <v>671</v>
      </c>
      <c r="D30" s="87" t="s">
        <v>686</v>
      </c>
      <c r="E30" s="392" t="s">
        <v>662</v>
      </c>
      <c r="F30" s="617" t="s">
        <v>663</v>
      </c>
      <c r="G30" s="617" t="s">
        <v>664</v>
      </c>
      <c r="H30" s="622" t="s">
        <v>673</v>
      </c>
      <c r="I30" s="100">
        <f>VLOOKUP(H30,References!$B$7:$F$249,5,FALSE)</f>
        <v>91</v>
      </c>
      <c r="M30" s="44"/>
      <c r="N30" s="44"/>
      <c r="O30" s="44"/>
      <c r="P30" s="44"/>
      <c r="Q30" s="44"/>
      <c r="R30" s="44"/>
      <c r="S30" s="44"/>
      <c r="T30" s="44"/>
      <c r="U30" s="44"/>
    </row>
    <row r="31" spans="1:21" ht="16" x14ac:dyDescent="0.2">
      <c r="A31" s="838"/>
      <c r="B31" s="869"/>
      <c r="C31" s="149" t="s">
        <v>671</v>
      </c>
      <c r="D31" s="87" t="s">
        <v>700</v>
      </c>
      <c r="E31" s="58" t="s">
        <v>662</v>
      </c>
      <c r="F31" s="617" t="s">
        <v>668</v>
      </c>
      <c r="G31" s="617" t="s">
        <v>664</v>
      </c>
      <c r="H31" s="622" t="s">
        <v>688</v>
      </c>
      <c r="I31" s="100">
        <f>VLOOKUP(H31,References!$B$7:$F$249,5,FALSE)</f>
        <v>130</v>
      </c>
      <c r="M31" s="44"/>
      <c r="N31" s="44"/>
      <c r="O31" s="44"/>
      <c r="P31" s="44"/>
      <c r="Q31" s="44"/>
      <c r="R31" s="44"/>
      <c r="S31" s="44"/>
      <c r="T31" s="44"/>
      <c r="U31" s="44"/>
    </row>
    <row r="32" spans="1:21" ht="16" x14ac:dyDescent="0.2">
      <c r="A32" s="838"/>
      <c r="B32" s="869"/>
      <c r="C32" s="149" t="s">
        <v>657</v>
      </c>
      <c r="D32" s="87" t="s">
        <v>701</v>
      </c>
      <c r="E32" s="58" t="s">
        <v>667</v>
      </c>
      <c r="F32" s="617" t="s">
        <v>668</v>
      </c>
      <c r="G32" s="617" t="s">
        <v>669</v>
      </c>
      <c r="H32" s="622" t="s">
        <v>675</v>
      </c>
      <c r="I32" s="100">
        <f>VLOOKUP(H32,References!$B$7:$F$249,5,FALSE)</f>
        <v>97</v>
      </c>
      <c r="M32" s="44"/>
      <c r="N32" s="44"/>
      <c r="O32" s="44"/>
      <c r="P32" s="44"/>
      <c r="Q32" s="44"/>
      <c r="R32" s="44"/>
      <c r="S32" s="44"/>
      <c r="T32" s="44"/>
      <c r="U32" s="44"/>
    </row>
    <row r="33" spans="1:21" ht="16" x14ac:dyDescent="0.2">
      <c r="A33" s="838"/>
      <c r="B33" s="869"/>
      <c r="C33" s="149" t="s">
        <v>657</v>
      </c>
      <c r="D33" s="87" t="s">
        <v>702</v>
      </c>
      <c r="E33" s="392" t="s">
        <v>662</v>
      </c>
      <c r="F33" s="617" t="s">
        <v>663</v>
      </c>
      <c r="G33" s="617" t="s">
        <v>664</v>
      </c>
      <c r="H33" s="617" t="s">
        <v>680</v>
      </c>
      <c r="I33" s="100">
        <f>VLOOKUP(H33,References!$B$7:$F$249,5,FALSE)</f>
        <v>92</v>
      </c>
      <c r="M33" s="44"/>
      <c r="N33" s="44"/>
      <c r="O33" s="44"/>
      <c r="P33" s="44"/>
      <c r="Q33" s="44"/>
      <c r="R33" s="44"/>
      <c r="S33" s="44"/>
      <c r="T33" s="44"/>
      <c r="U33" s="44"/>
    </row>
    <row r="34" spans="1:21" s="44" customFormat="1" ht="16" x14ac:dyDescent="0.2">
      <c r="A34" s="838"/>
      <c r="B34" s="869"/>
      <c r="C34" s="149" t="s">
        <v>671</v>
      </c>
      <c r="D34" s="87" t="s">
        <v>703</v>
      </c>
      <c r="E34" s="392" t="s">
        <v>677</v>
      </c>
      <c r="F34" s="617" t="s">
        <v>668</v>
      </c>
      <c r="G34" s="617" t="s">
        <v>664</v>
      </c>
      <c r="H34" s="622" t="s">
        <v>678</v>
      </c>
      <c r="I34" s="100">
        <f>VLOOKUP(H34,References!$B$7:$F$249,5,FALSE)</f>
        <v>7</v>
      </c>
      <c r="J34" s="6"/>
      <c r="K34" s="6"/>
      <c r="L34" s="6"/>
    </row>
    <row r="35" spans="1:21" s="44" customFormat="1" ht="16" x14ac:dyDescent="0.2">
      <c r="A35" s="838"/>
      <c r="B35" s="869"/>
      <c r="C35" s="149" t="s">
        <v>657</v>
      </c>
      <c r="D35" s="87" t="s">
        <v>704</v>
      </c>
      <c r="E35" s="392" t="s">
        <v>662</v>
      </c>
      <c r="F35" s="617" t="s">
        <v>663</v>
      </c>
      <c r="G35" s="617" t="s">
        <v>664</v>
      </c>
      <c r="H35" s="622" t="s">
        <v>705</v>
      </c>
      <c r="I35" s="100">
        <f>VLOOKUP(H35,References!$B$7:$F$249,5,FALSE)</f>
        <v>70</v>
      </c>
      <c r="J35" s="6"/>
      <c r="K35" s="6"/>
      <c r="L35" s="6"/>
    </row>
    <row r="36" spans="1:21" s="44" customFormat="1" ht="16" x14ac:dyDescent="0.2">
      <c r="A36" s="838"/>
      <c r="B36" s="869"/>
      <c r="C36" s="149" t="s">
        <v>657</v>
      </c>
      <c r="D36" s="87" t="s">
        <v>706</v>
      </c>
      <c r="E36" s="392" t="s">
        <v>27</v>
      </c>
      <c r="F36" s="617" t="s">
        <v>663</v>
      </c>
      <c r="G36" s="617" t="s">
        <v>33</v>
      </c>
      <c r="H36" s="622" t="s">
        <v>707</v>
      </c>
      <c r="I36" s="100">
        <f>VLOOKUP(H36,References!$B$7:$F$249,5,FALSE)</f>
        <v>3</v>
      </c>
      <c r="J36" s="6"/>
      <c r="K36" s="6"/>
      <c r="L36" s="6"/>
    </row>
    <row r="37" spans="1:21" ht="16" x14ac:dyDescent="0.2">
      <c r="A37" s="838"/>
      <c r="B37" s="869"/>
      <c r="C37" s="149" t="s">
        <v>657</v>
      </c>
      <c r="D37" s="87" t="s">
        <v>708</v>
      </c>
      <c r="E37" s="392" t="s">
        <v>27</v>
      </c>
      <c r="F37" s="617" t="s">
        <v>663</v>
      </c>
      <c r="G37" s="617" t="s">
        <v>33</v>
      </c>
      <c r="H37" s="622" t="s">
        <v>707</v>
      </c>
      <c r="I37" s="122">
        <f>VLOOKUP(H37,References!$B$7:$F$249,5,FALSE)</f>
        <v>3</v>
      </c>
      <c r="M37" s="44"/>
      <c r="N37" s="44"/>
      <c r="O37" s="44"/>
      <c r="P37" s="44"/>
      <c r="Q37" s="44"/>
      <c r="R37" s="44"/>
      <c r="S37" s="44"/>
      <c r="T37" s="44"/>
      <c r="U37" s="44"/>
    </row>
    <row r="38" spans="1:21" ht="16" x14ac:dyDescent="0.2">
      <c r="A38" s="839" t="s">
        <v>66</v>
      </c>
      <c r="B38" s="850" t="s">
        <v>67</v>
      </c>
      <c r="C38" s="150" t="s">
        <v>657</v>
      </c>
      <c r="D38" s="627" t="s">
        <v>709</v>
      </c>
      <c r="E38" s="57" t="s">
        <v>667</v>
      </c>
      <c r="F38" s="628" t="s">
        <v>668</v>
      </c>
      <c r="G38" s="628" t="s">
        <v>682</v>
      </c>
      <c r="H38" s="629" t="s">
        <v>710</v>
      </c>
      <c r="I38" s="100">
        <f>VLOOKUP(H38,References!$B$7:$F$249,5,FALSE)</f>
        <v>35</v>
      </c>
    </row>
    <row r="39" spans="1:21" ht="16" x14ac:dyDescent="0.2">
      <c r="A39" s="838"/>
      <c r="B39" s="869"/>
      <c r="C39" s="149" t="s">
        <v>657</v>
      </c>
      <c r="D39" s="87" t="s">
        <v>711</v>
      </c>
      <c r="E39" s="630" t="s">
        <v>662</v>
      </c>
      <c r="F39" s="617" t="s">
        <v>696</v>
      </c>
      <c r="G39" s="617" t="s">
        <v>664</v>
      </c>
      <c r="H39" s="622" t="s">
        <v>712</v>
      </c>
      <c r="I39" s="100">
        <f>VLOOKUP(H39,References!$B$7:$F$249,5,FALSE)</f>
        <v>5</v>
      </c>
    </row>
    <row r="40" spans="1:21" ht="16" x14ac:dyDescent="0.2">
      <c r="A40" s="838"/>
      <c r="B40" s="869"/>
      <c r="C40" s="149" t="s">
        <v>657</v>
      </c>
      <c r="D40" s="87" t="s">
        <v>713</v>
      </c>
      <c r="E40" s="630" t="s">
        <v>662</v>
      </c>
      <c r="F40" s="617" t="s">
        <v>663</v>
      </c>
      <c r="G40" s="617" t="s">
        <v>664</v>
      </c>
      <c r="H40" s="622" t="s">
        <v>692</v>
      </c>
      <c r="I40" s="100">
        <f>VLOOKUP(H40,References!$B$7:$F$249,5,FALSE)</f>
        <v>69</v>
      </c>
    </row>
    <row r="41" spans="1:21" ht="16" x14ac:dyDescent="0.2">
      <c r="A41" s="838"/>
      <c r="B41" s="869"/>
      <c r="C41" s="149" t="s">
        <v>657</v>
      </c>
      <c r="D41" s="87" t="s">
        <v>714</v>
      </c>
      <c r="E41" s="630" t="s">
        <v>662</v>
      </c>
      <c r="F41" s="617" t="s">
        <v>663</v>
      </c>
      <c r="G41" s="617" t="s">
        <v>664</v>
      </c>
      <c r="H41" s="622" t="s">
        <v>665</v>
      </c>
      <c r="I41" s="100">
        <f>VLOOKUP(H41,References!$B$7:$F$249,5,FALSE)</f>
        <v>144</v>
      </c>
    </row>
    <row r="42" spans="1:21" ht="16" x14ac:dyDescent="0.2">
      <c r="A42" s="838"/>
      <c r="B42" s="869"/>
      <c r="C42" s="149" t="s">
        <v>657</v>
      </c>
      <c r="D42" s="623" t="s">
        <v>715</v>
      </c>
      <c r="E42" s="58" t="s">
        <v>667</v>
      </c>
      <c r="F42" s="617" t="s">
        <v>663</v>
      </c>
      <c r="G42" s="617" t="s">
        <v>682</v>
      </c>
      <c r="H42" s="622" t="s">
        <v>683</v>
      </c>
      <c r="I42" s="100">
        <f>VLOOKUP(H42,References!$B$7:$F$249,5,FALSE)</f>
        <v>151</v>
      </c>
    </row>
    <row r="43" spans="1:21" ht="16" x14ac:dyDescent="0.2">
      <c r="A43" s="838"/>
      <c r="B43" s="869"/>
      <c r="C43" s="149" t="s">
        <v>657</v>
      </c>
      <c r="D43" s="623" t="s">
        <v>716</v>
      </c>
      <c r="E43" s="58" t="s">
        <v>667</v>
      </c>
      <c r="F43" s="617" t="s">
        <v>668</v>
      </c>
      <c r="G43" s="617" t="s">
        <v>669</v>
      </c>
      <c r="H43" s="622" t="s">
        <v>670</v>
      </c>
      <c r="I43" s="100">
        <f>VLOOKUP(H43,References!$B$7:$F$249,5,FALSE)</f>
        <v>43</v>
      </c>
    </row>
    <row r="44" spans="1:21" ht="16" x14ac:dyDescent="0.2">
      <c r="A44" s="838"/>
      <c r="B44" s="869"/>
      <c r="C44" s="149" t="s">
        <v>657</v>
      </c>
      <c r="D44" s="87" t="s">
        <v>717</v>
      </c>
      <c r="E44" s="630" t="s">
        <v>662</v>
      </c>
      <c r="F44" s="617" t="s">
        <v>696</v>
      </c>
      <c r="G44" s="617" t="s">
        <v>664</v>
      </c>
      <c r="H44" s="622" t="s">
        <v>697</v>
      </c>
      <c r="I44" s="100">
        <f>VLOOKUP(H44,References!$B$7:$F$249,5,FALSE)</f>
        <v>21</v>
      </c>
    </row>
    <row r="45" spans="1:21" ht="16" x14ac:dyDescent="0.2">
      <c r="A45" s="838"/>
      <c r="B45" s="869"/>
      <c r="C45" s="149" t="s">
        <v>657</v>
      </c>
      <c r="D45" s="87" t="s">
        <v>718</v>
      </c>
      <c r="E45" s="630" t="s">
        <v>662</v>
      </c>
      <c r="F45" s="617" t="s">
        <v>663</v>
      </c>
      <c r="G45" s="617" t="s">
        <v>664</v>
      </c>
      <c r="H45" s="622" t="s">
        <v>719</v>
      </c>
      <c r="I45" s="100">
        <f>VLOOKUP(H45,References!$B$7:$F$249,5,FALSE)</f>
        <v>89</v>
      </c>
    </row>
    <row r="46" spans="1:21" ht="16" x14ac:dyDescent="0.2">
      <c r="A46" s="838"/>
      <c r="B46" s="869"/>
      <c r="C46" s="149" t="s">
        <v>671</v>
      </c>
      <c r="D46" s="87" t="s">
        <v>720</v>
      </c>
      <c r="E46" s="630" t="s">
        <v>662</v>
      </c>
      <c r="F46" s="617" t="s">
        <v>663</v>
      </c>
      <c r="G46" s="617" t="s">
        <v>664</v>
      </c>
      <c r="H46" s="622" t="s">
        <v>673</v>
      </c>
      <c r="I46" s="100">
        <f>VLOOKUP(H46,References!$B$7:$F$249,5,FALSE)</f>
        <v>91</v>
      </c>
    </row>
    <row r="47" spans="1:21" ht="16" x14ac:dyDescent="0.2">
      <c r="A47" s="838"/>
      <c r="B47" s="869"/>
      <c r="C47" s="149" t="s">
        <v>671</v>
      </c>
      <c r="D47" s="87" t="s">
        <v>721</v>
      </c>
      <c r="E47" s="58" t="s">
        <v>662</v>
      </c>
      <c r="F47" s="617" t="s">
        <v>668</v>
      </c>
      <c r="G47" s="617" t="s">
        <v>664</v>
      </c>
      <c r="H47" s="622" t="s">
        <v>688</v>
      </c>
      <c r="I47" s="100">
        <f>VLOOKUP(H47,References!$B$7:$F$249,5,FALSE)</f>
        <v>130</v>
      </c>
    </row>
    <row r="48" spans="1:21" ht="16" x14ac:dyDescent="0.2">
      <c r="A48" s="838"/>
      <c r="B48" s="869"/>
      <c r="C48" s="149" t="s">
        <v>657</v>
      </c>
      <c r="D48" s="623" t="s">
        <v>722</v>
      </c>
      <c r="E48" s="58" t="s">
        <v>667</v>
      </c>
      <c r="F48" s="617" t="s">
        <v>668</v>
      </c>
      <c r="G48" s="617" t="s">
        <v>669</v>
      </c>
      <c r="H48" s="622" t="s">
        <v>675</v>
      </c>
      <c r="I48" s="100">
        <f>VLOOKUP(H48,References!$B$7:$F$249,5,FALSE)</f>
        <v>97</v>
      </c>
    </row>
    <row r="49" spans="1:12" ht="16" x14ac:dyDescent="0.2">
      <c r="A49" s="838"/>
      <c r="B49" s="869"/>
      <c r="C49" s="149" t="s">
        <v>657</v>
      </c>
      <c r="D49" s="87" t="s">
        <v>723</v>
      </c>
      <c r="E49" s="630" t="s">
        <v>662</v>
      </c>
      <c r="F49" s="617" t="s">
        <v>663</v>
      </c>
      <c r="G49" s="617" t="s">
        <v>664</v>
      </c>
      <c r="H49" s="622" t="s">
        <v>724</v>
      </c>
      <c r="I49" s="100">
        <f>VLOOKUP(H49,References!$B$7:$F$249,5,FALSE)</f>
        <v>90</v>
      </c>
    </row>
    <row r="50" spans="1:12" s="44" customFormat="1" ht="16" x14ac:dyDescent="0.2">
      <c r="A50" s="838"/>
      <c r="B50" s="869"/>
      <c r="C50" s="149" t="s">
        <v>671</v>
      </c>
      <c r="D50" s="87" t="s">
        <v>725</v>
      </c>
      <c r="E50" s="630" t="s">
        <v>677</v>
      </c>
      <c r="F50" s="617" t="s">
        <v>668</v>
      </c>
      <c r="G50" s="617" t="s">
        <v>664</v>
      </c>
      <c r="H50" s="622" t="s">
        <v>678</v>
      </c>
      <c r="I50" s="100">
        <f>VLOOKUP(H50,References!$B$7:$F$249,5,FALSE)</f>
        <v>7</v>
      </c>
      <c r="J50" s="6"/>
      <c r="K50" s="6"/>
      <c r="L50" s="6"/>
    </row>
    <row r="51" spans="1:12" s="44" customFormat="1" ht="16" x14ac:dyDescent="0.2">
      <c r="A51" s="838"/>
      <c r="B51" s="869"/>
      <c r="C51" s="149" t="s">
        <v>657</v>
      </c>
      <c r="D51" s="87" t="s">
        <v>726</v>
      </c>
      <c r="E51" s="630" t="s">
        <v>662</v>
      </c>
      <c r="F51" s="617" t="s">
        <v>663</v>
      </c>
      <c r="G51" s="617" t="s">
        <v>664</v>
      </c>
      <c r="H51" s="622" t="s">
        <v>705</v>
      </c>
      <c r="I51" s="100">
        <f>VLOOKUP(H51,References!$B$7:$F$249,5,FALSE)</f>
        <v>70</v>
      </c>
      <c r="J51" s="6"/>
      <c r="K51" s="6"/>
      <c r="L51" s="6"/>
    </row>
    <row r="52" spans="1:12" ht="16" x14ac:dyDescent="0.2">
      <c r="A52" s="840"/>
      <c r="B52" s="851"/>
      <c r="C52" s="182" t="s">
        <v>657</v>
      </c>
      <c r="D52" s="624" t="s">
        <v>727</v>
      </c>
      <c r="E52" s="631" t="s">
        <v>27</v>
      </c>
      <c r="F52" s="620" t="s">
        <v>668</v>
      </c>
      <c r="G52" s="620" t="s">
        <v>33</v>
      </c>
      <c r="H52" s="626" t="s">
        <v>707</v>
      </c>
      <c r="I52" s="122">
        <f>VLOOKUP(H52,References!$B$7:$F$249,5,FALSE)</f>
        <v>3</v>
      </c>
    </row>
    <row r="53" spans="1:12" ht="16" x14ac:dyDescent="0.2">
      <c r="A53" s="830" t="s">
        <v>77</v>
      </c>
      <c r="B53" s="869" t="s">
        <v>78</v>
      </c>
      <c r="C53" s="149" t="s">
        <v>657</v>
      </c>
      <c r="D53" s="87" t="s">
        <v>728</v>
      </c>
      <c r="E53" s="58" t="s">
        <v>667</v>
      </c>
      <c r="F53" s="617" t="s">
        <v>663</v>
      </c>
      <c r="G53" s="617" t="s">
        <v>669</v>
      </c>
      <c r="H53" s="622" t="s">
        <v>729</v>
      </c>
      <c r="I53" s="100">
        <f>VLOOKUP(H53,References!$B$7:$F$249,5,FALSE)</f>
        <v>49</v>
      </c>
    </row>
    <row r="54" spans="1:12" ht="16" x14ac:dyDescent="0.2">
      <c r="A54" s="830"/>
      <c r="B54" s="869"/>
      <c r="C54" s="149" t="s">
        <v>657</v>
      </c>
      <c r="D54" s="87" t="s">
        <v>730</v>
      </c>
      <c r="E54" s="392" t="s">
        <v>662</v>
      </c>
      <c r="F54" s="617" t="s">
        <v>696</v>
      </c>
      <c r="G54" s="617" t="s">
        <v>664</v>
      </c>
      <c r="H54" s="622" t="s">
        <v>712</v>
      </c>
      <c r="I54" s="100">
        <f>VLOOKUP(H54,References!$B$7:$F$249,5,FALSE)</f>
        <v>5</v>
      </c>
    </row>
    <row r="55" spans="1:12" ht="16" x14ac:dyDescent="0.2">
      <c r="A55" s="830"/>
      <c r="B55" s="869"/>
      <c r="C55" s="149" t="s">
        <v>657</v>
      </c>
      <c r="D55" s="87" t="s">
        <v>731</v>
      </c>
      <c r="E55" s="58" t="s">
        <v>667</v>
      </c>
      <c r="F55" s="617" t="s">
        <v>668</v>
      </c>
      <c r="G55" s="617" t="s">
        <v>682</v>
      </c>
      <c r="H55" s="622" t="s">
        <v>710</v>
      </c>
      <c r="I55" s="100">
        <f>VLOOKUP(H55,References!$B$7:$F$249,5,FALSE)</f>
        <v>35</v>
      </c>
    </row>
    <row r="56" spans="1:12" ht="16" x14ac:dyDescent="0.2">
      <c r="A56" s="830"/>
      <c r="B56" s="869"/>
      <c r="C56" s="149" t="s">
        <v>657</v>
      </c>
      <c r="D56" s="87" t="s">
        <v>732</v>
      </c>
      <c r="E56" s="392" t="s">
        <v>662</v>
      </c>
      <c r="F56" s="617" t="s">
        <v>663</v>
      </c>
      <c r="G56" s="617" t="s">
        <v>664</v>
      </c>
      <c r="H56" s="622" t="s">
        <v>733</v>
      </c>
      <c r="I56" s="100">
        <f>VLOOKUP(H56,References!$B$7:$F$249,5,FALSE)</f>
        <v>67</v>
      </c>
    </row>
    <row r="57" spans="1:12" ht="16" x14ac:dyDescent="0.2">
      <c r="A57" s="830"/>
      <c r="B57" s="869"/>
      <c r="C57" s="149" t="s">
        <v>657</v>
      </c>
      <c r="D57" s="87" t="s">
        <v>734</v>
      </c>
      <c r="E57" s="58" t="s">
        <v>667</v>
      </c>
      <c r="F57" s="617" t="s">
        <v>663</v>
      </c>
      <c r="G57" s="617" t="s">
        <v>682</v>
      </c>
      <c r="H57" s="622" t="s">
        <v>735</v>
      </c>
      <c r="I57" s="100">
        <f>VLOOKUP(H57,References!$B$7:$F$249,5,FALSE)</f>
        <v>6</v>
      </c>
    </row>
    <row r="58" spans="1:12" ht="16" x14ac:dyDescent="0.2">
      <c r="A58" s="830"/>
      <c r="B58" s="869"/>
      <c r="C58" s="149" t="s">
        <v>657</v>
      </c>
      <c r="D58" s="87" t="s">
        <v>736</v>
      </c>
      <c r="E58" s="392" t="s">
        <v>662</v>
      </c>
      <c r="F58" s="617" t="s">
        <v>663</v>
      </c>
      <c r="G58" s="617" t="s">
        <v>664</v>
      </c>
      <c r="H58" s="622" t="s">
        <v>665</v>
      </c>
      <c r="I58" s="100">
        <f>VLOOKUP(H58,References!$B$7:$F$249,5,FALSE)</f>
        <v>144</v>
      </c>
    </row>
    <row r="59" spans="1:12" ht="16" x14ac:dyDescent="0.2">
      <c r="A59" s="830"/>
      <c r="B59" s="869"/>
      <c r="C59" s="149" t="s">
        <v>657</v>
      </c>
      <c r="D59" s="87" t="s">
        <v>737</v>
      </c>
      <c r="E59" s="58" t="s">
        <v>667</v>
      </c>
      <c r="F59" s="617" t="s">
        <v>663</v>
      </c>
      <c r="G59" s="617" t="s">
        <v>682</v>
      </c>
      <c r="H59" s="622" t="s">
        <v>683</v>
      </c>
      <c r="I59" s="100">
        <f>VLOOKUP(H59,References!$B$7:$F$249,5,FALSE)</f>
        <v>151</v>
      </c>
    </row>
    <row r="60" spans="1:12" ht="16" x14ac:dyDescent="0.2">
      <c r="A60" s="830"/>
      <c r="B60" s="869"/>
      <c r="C60" s="149" t="s">
        <v>657</v>
      </c>
      <c r="D60" s="87" t="s">
        <v>738</v>
      </c>
      <c r="E60" s="392" t="s">
        <v>662</v>
      </c>
      <c r="F60" s="617" t="s">
        <v>663</v>
      </c>
      <c r="G60" s="617" t="s">
        <v>664</v>
      </c>
      <c r="H60" s="622" t="s">
        <v>739</v>
      </c>
      <c r="I60" s="100">
        <f>VLOOKUP(H60,References!$B$7:$F$249,5,FALSE)</f>
        <v>93</v>
      </c>
    </row>
    <row r="61" spans="1:12" ht="16" x14ac:dyDescent="0.2">
      <c r="A61" s="830"/>
      <c r="B61" s="869"/>
      <c r="C61" s="149" t="s">
        <v>657</v>
      </c>
      <c r="D61" s="87" t="s">
        <v>740</v>
      </c>
      <c r="E61" s="58" t="s">
        <v>667</v>
      </c>
      <c r="F61" s="617" t="s">
        <v>663</v>
      </c>
      <c r="G61" s="617" t="s">
        <v>664</v>
      </c>
      <c r="H61" s="622" t="s">
        <v>741</v>
      </c>
      <c r="I61" s="100">
        <f>VLOOKUP(H61,References!$B$7:$F$249,5,FALSE)</f>
        <v>20</v>
      </c>
    </row>
    <row r="62" spans="1:12" ht="16" x14ac:dyDescent="0.2">
      <c r="A62" s="830"/>
      <c r="B62" s="869"/>
      <c r="C62" s="149" t="s">
        <v>657</v>
      </c>
      <c r="D62" s="87" t="s">
        <v>742</v>
      </c>
      <c r="E62" s="58" t="s">
        <v>667</v>
      </c>
      <c r="F62" s="617" t="s">
        <v>668</v>
      </c>
      <c r="G62" s="617" t="s">
        <v>669</v>
      </c>
      <c r="H62" s="622" t="s">
        <v>670</v>
      </c>
      <c r="I62" s="100">
        <f>VLOOKUP(H62,References!$B$7:$F$249,5,FALSE)</f>
        <v>43</v>
      </c>
    </row>
    <row r="63" spans="1:12" ht="16" x14ac:dyDescent="0.2">
      <c r="A63" s="830"/>
      <c r="B63" s="869"/>
      <c r="C63" s="149" t="s">
        <v>743</v>
      </c>
      <c r="D63" s="87" t="s">
        <v>744</v>
      </c>
      <c r="E63" s="392" t="s">
        <v>662</v>
      </c>
      <c r="F63" s="617" t="s">
        <v>663</v>
      </c>
      <c r="G63" s="617" t="s">
        <v>664</v>
      </c>
      <c r="H63" s="622" t="s">
        <v>697</v>
      </c>
      <c r="I63" s="100">
        <f>VLOOKUP(H63,References!$B$7:$F$249,5,FALSE)</f>
        <v>21</v>
      </c>
    </row>
    <row r="64" spans="1:12" ht="16" x14ac:dyDescent="0.2">
      <c r="A64" s="830"/>
      <c r="B64" s="869"/>
      <c r="C64" s="149" t="s">
        <v>743</v>
      </c>
      <c r="D64" s="87" t="s">
        <v>745</v>
      </c>
      <c r="E64" s="392" t="s">
        <v>662</v>
      </c>
      <c r="F64" s="617" t="s">
        <v>746</v>
      </c>
      <c r="G64" s="617" t="s">
        <v>664</v>
      </c>
      <c r="H64" s="622" t="s">
        <v>697</v>
      </c>
      <c r="I64" s="100">
        <f>VLOOKUP(H64,References!$B$7:$F$249,5,FALSE)</f>
        <v>21</v>
      </c>
    </row>
    <row r="65" spans="1:12" ht="16" x14ac:dyDescent="0.2">
      <c r="A65" s="830"/>
      <c r="B65" s="869"/>
      <c r="C65" s="149" t="s">
        <v>747</v>
      </c>
      <c r="D65" s="87" t="s">
        <v>748</v>
      </c>
      <c r="E65" s="392" t="s">
        <v>662</v>
      </c>
      <c r="F65" s="617" t="s">
        <v>663</v>
      </c>
      <c r="G65" s="617" t="s">
        <v>664</v>
      </c>
      <c r="H65" s="622" t="s">
        <v>697</v>
      </c>
      <c r="I65" s="100">
        <f>VLOOKUP(H65,References!$B$7:$F$249,5,FALSE)</f>
        <v>21</v>
      </c>
    </row>
    <row r="66" spans="1:12" ht="16" x14ac:dyDescent="0.2">
      <c r="A66" s="830"/>
      <c r="B66" s="869"/>
      <c r="C66" s="149" t="s">
        <v>747</v>
      </c>
      <c r="D66" s="87" t="s">
        <v>749</v>
      </c>
      <c r="E66" s="392" t="s">
        <v>662</v>
      </c>
      <c r="F66" s="617" t="s">
        <v>746</v>
      </c>
      <c r="G66" s="617" t="s">
        <v>664</v>
      </c>
      <c r="H66" s="622" t="s">
        <v>697</v>
      </c>
      <c r="I66" s="100">
        <f>VLOOKUP(H66,References!$B$7:$F$249,5,FALSE)</f>
        <v>21</v>
      </c>
    </row>
    <row r="67" spans="1:12" ht="16" x14ac:dyDescent="0.2">
      <c r="A67" s="830"/>
      <c r="B67" s="869"/>
      <c r="C67" s="149" t="s">
        <v>671</v>
      </c>
      <c r="D67" s="87" t="s">
        <v>750</v>
      </c>
      <c r="E67" s="58" t="s">
        <v>667</v>
      </c>
      <c r="F67" s="617" t="s">
        <v>668</v>
      </c>
      <c r="G67" s="617" t="s">
        <v>682</v>
      </c>
      <c r="H67" s="622" t="s">
        <v>751</v>
      </c>
      <c r="I67" s="100">
        <f>VLOOKUP(H67,References!$B$7:$F$249,5,FALSE)</f>
        <v>87</v>
      </c>
    </row>
    <row r="68" spans="1:12" ht="16" x14ac:dyDescent="0.2">
      <c r="A68" s="830"/>
      <c r="B68" s="869"/>
      <c r="C68" s="149" t="s">
        <v>657</v>
      </c>
      <c r="D68" s="87" t="s">
        <v>752</v>
      </c>
      <c r="E68" s="392" t="s">
        <v>662</v>
      </c>
      <c r="F68" s="617" t="s">
        <v>663</v>
      </c>
      <c r="G68" s="617" t="s">
        <v>664</v>
      </c>
      <c r="H68" s="622" t="s">
        <v>719</v>
      </c>
      <c r="I68" s="100">
        <f>VLOOKUP(H68,References!$B$7:$F$249,5,FALSE)</f>
        <v>89</v>
      </c>
    </row>
    <row r="69" spans="1:12" ht="16" x14ac:dyDescent="0.2">
      <c r="A69" s="830"/>
      <c r="B69" s="869"/>
      <c r="C69" s="149" t="s">
        <v>657</v>
      </c>
      <c r="D69" s="87" t="s">
        <v>753</v>
      </c>
      <c r="E69" s="392" t="s">
        <v>662</v>
      </c>
      <c r="F69" s="617" t="s">
        <v>663</v>
      </c>
      <c r="G69" s="617" t="s">
        <v>664</v>
      </c>
      <c r="H69" s="622" t="s">
        <v>754</v>
      </c>
      <c r="I69" s="100">
        <f>VLOOKUP(H69,References!$B$7:$F$249,5,FALSE)</f>
        <v>94</v>
      </c>
    </row>
    <row r="70" spans="1:12" ht="16" x14ac:dyDescent="0.2">
      <c r="A70" s="830"/>
      <c r="B70" s="869"/>
      <c r="C70" s="149" t="s">
        <v>657</v>
      </c>
      <c r="D70" s="87" t="s">
        <v>755</v>
      </c>
      <c r="E70" s="392" t="s">
        <v>30</v>
      </c>
      <c r="F70" s="617" t="s">
        <v>658</v>
      </c>
      <c r="G70" s="617" t="s">
        <v>659</v>
      </c>
      <c r="H70" s="622" t="s">
        <v>606</v>
      </c>
      <c r="I70" s="100">
        <f>VLOOKUP(H70,References!$B$7:$F$249,5,FALSE)</f>
        <v>135</v>
      </c>
    </row>
    <row r="71" spans="1:12" ht="16" x14ac:dyDescent="0.2">
      <c r="A71" s="830"/>
      <c r="B71" s="869"/>
      <c r="C71" s="149" t="s">
        <v>671</v>
      </c>
      <c r="D71" s="87" t="s">
        <v>756</v>
      </c>
      <c r="E71" s="58" t="s">
        <v>662</v>
      </c>
      <c r="F71" s="617" t="s">
        <v>668</v>
      </c>
      <c r="G71" s="617" t="s">
        <v>664</v>
      </c>
      <c r="H71" s="622" t="s">
        <v>688</v>
      </c>
      <c r="I71" s="100">
        <f>VLOOKUP(H71,References!$B$7:$F$249,5,FALSE)</f>
        <v>130</v>
      </c>
    </row>
    <row r="72" spans="1:12" ht="16" x14ac:dyDescent="0.2">
      <c r="A72" s="830"/>
      <c r="B72" s="869"/>
      <c r="C72" s="149" t="s">
        <v>671</v>
      </c>
      <c r="D72" s="87" t="s">
        <v>757</v>
      </c>
      <c r="E72" s="392" t="s">
        <v>662</v>
      </c>
      <c r="F72" s="617" t="s">
        <v>663</v>
      </c>
      <c r="G72" s="617" t="s">
        <v>664</v>
      </c>
      <c r="H72" s="622" t="s">
        <v>673</v>
      </c>
      <c r="I72" s="100">
        <f>VLOOKUP(H72,References!$B$7:$F$249,5,FALSE)</f>
        <v>91</v>
      </c>
    </row>
    <row r="73" spans="1:12" ht="16" x14ac:dyDescent="0.2">
      <c r="A73" s="830"/>
      <c r="B73" s="869"/>
      <c r="C73" s="149" t="s">
        <v>657</v>
      </c>
      <c r="D73" s="87" t="s">
        <v>758</v>
      </c>
      <c r="E73" s="58" t="s">
        <v>667</v>
      </c>
      <c r="F73" s="617" t="s">
        <v>668</v>
      </c>
      <c r="G73" s="617" t="s">
        <v>669</v>
      </c>
      <c r="H73" s="622" t="s">
        <v>675</v>
      </c>
      <c r="I73" s="100">
        <f>VLOOKUP(H73,References!$B$7:$F$249,5,FALSE)</f>
        <v>97</v>
      </c>
    </row>
    <row r="74" spans="1:12" ht="16" x14ac:dyDescent="0.2">
      <c r="A74" s="830"/>
      <c r="B74" s="869"/>
      <c r="C74" s="149" t="s">
        <v>657</v>
      </c>
      <c r="D74" s="87" t="s">
        <v>759</v>
      </c>
      <c r="E74" s="58" t="s">
        <v>667</v>
      </c>
      <c r="F74" s="617" t="s">
        <v>668</v>
      </c>
      <c r="G74" s="617" t="s">
        <v>682</v>
      </c>
      <c r="H74" s="622" t="s">
        <v>760</v>
      </c>
      <c r="I74" s="100">
        <f>VLOOKUP(H74,References!$B$7:$F$249,5,FALSE)</f>
        <v>134</v>
      </c>
    </row>
    <row r="75" spans="1:12" ht="16" x14ac:dyDescent="0.2">
      <c r="A75" s="830"/>
      <c r="B75" s="869"/>
      <c r="C75" s="149" t="s">
        <v>671</v>
      </c>
      <c r="D75" s="87" t="s">
        <v>761</v>
      </c>
      <c r="E75" s="392" t="s">
        <v>677</v>
      </c>
      <c r="F75" s="617" t="s">
        <v>668</v>
      </c>
      <c r="G75" s="617" t="s">
        <v>664</v>
      </c>
      <c r="H75" s="622" t="s">
        <v>678</v>
      </c>
      <c r="I75" s="100">
        <f>VLOOKUP(H75,References!$B$7:$F$249,5,FALSE)</f>
        <v>7</v>
      </c>
    </row>
    <row r="76" spans="1:12" s="44" customFormat="1" ht="16" x14ac:dyDescent="0.2">
      <c r="A76" s="830"/>
      <c r="B76" s="869"/>
      <c r="C76" s="149" t="s">
        <v>657</v>
      </c>
      <c r="D76" s="87" t="s">
        <v>762</v>
      </c>
      <c r="E76" s="392" t="s">
        <v>662</v>
      </c>
      <c r="F76" s="617" t="s">
        <v>663</v>
      </c>
      <c r="G76" s="617" t="s">
        <v>664</v>
      </c>
      <c r="H76" s="622" t="s">
        <v>724</v>
      </c>
      <c r="I76" s="100">
        <f>VLOOKUP(H76,References!$B$7:$F$249,5,FALSE)</f>
        <v>90</v>
      </c>
      <c r="J76" s="6"/>
      <c r="K76" s="6"/>
      <c r="L76" s="6"/>
    </row>
    <row r="77" spans="1:12" s="44" customFormat="1" ht="16" x14ac:dyDescent="0.2">
      <c r="A77" s="830"/>
      <c r="B77" s="869"/>
      <c r="C77" s="149" t="s">
        <v>657</v>
      </c>
      <c r="D77" s="87" t="s">
        <v>763</v>
      </c>
      <c r="E77" s="630" t="s">
        <v>662</v>
      </c>
      <c r="F77" s="617" t="s">
        <v>663</v>
      </c>
      <c r="G77" s="617" t="s">
        <v>664</v>
      </c>
      <c r="H77" s="622" t="s">
        <v>705</v>
      </c>
      <c r="I77" s="100">
        <f>VLOOKUP(H77,References!$B$7:$F$249,5,FALSE)</f>
        <v>70</v>
      </c>
      <c r="J77" s="6"/>
      <c r="K77" s="6"/>
      <c r="L77" s="6"/>
    </row>
    <row r="78" spans="1:12" ht="16" x14ac:dyDescent="0.2">
      <c r="A78" s="830"/>
      <c r="B78" s="869"/>
      <c r="C78" s="182" t="s">
        <v>657</v>
      </c>
      <c r="D78" s="624" t="s">
        <v>764</v>
      </c>
      <c r="E78" s="631" t="s">
        <v>27</v>
      </c>
      <c r="F78" s="620" t="s">
        <v>668</v>
      </c>
      <c r="G78" s="620" t="s">
        <v>33</v>
      </c>
      <c r="H78" s="626" t="s">
        <v>707</v>
      </c>
      <c r="I78" s="122">
        <f>VLOOKUP(H78,References!$B$7:$F$249,5,FALSE)</f>
        <v>3</v>
      </c>
    </row>
    <row r="79" spans="1:12" ht="16" x14ac:dyDescent="0.2">
      <c r="A79" s="839" t="s">
        <v>86</v>
      </c>
      <c r="B79" s="850" t="s">
        <v>87</v>
      </c>
      <c r="C79" s="149" t="s">
        <v>657</v>
      </c>
      <c r="D79" s="87" t="s">
        <v>765</v>
      </c>
      <c r="E79" s="58" t="s">
        <v>667</v>
      </c>
      <c r="F79" s="617" t="s">
        <v>663</v>
      </c>
      <c r="G79" s="617" t="s">
        <v>669</v>
      </c>
      <c r="H79" s="622" t="s">
        <v>729</v>
      </c>
      <c r="I79" s="100">
        <f>VLOOKUP(H79,References!$B$7:$F$249,5,FALSE)</f>
        <v>49</v>
      </c>
    </row>
    <row r="80" spans="1:12" ht="16" x14ac:dyDescent="0.2">
      <c r="A80" s="838"/>
      <c r="B80" s="869"/>
      <c r="C80" s="149" t="s">
        <v>657</v>
      </c>
      <c r="D80" s="87" t="s">
        <v>766</v>
      </c>
      <c r="E80" s="58" t="s">
        <v>667</v>
      </c>
      <c r="F80" s="617" t="s">
        <v>668</v>
      </c>
      <c r="G80" s="617" t="s">
        <v>682</v>
      </c>
      <c r="H80" s="622" t="s">
        <v>710</v>
      </c>
      <c r="I80" s="100">
        <f>VLOOKUP(H80,References!$B$7:$F$249,5,FALSE)</f>
        <v>35</v>
      </c>
    </row>
    <row r="81" spans="1:12" ht="16" x14ac:dyDescent="0.2">
      <c r="A81" s="838"/>
      <c r="B81" s="869"/>
      <c r="C81" s="149" t="s">
        <v>657</v>
      </c>
      <c r="D81" s="87" t="s">
        <v>767</v>
      </c>
      <c r="E81" s="392" t="s">
        <v>662</v>
      </c>
      <c r="F81" s="617" t="s">
        <v>663</v>
      </c>
      <c r="G81" s="617" t="s">
        <v>664</v>
      </c>
      <c r="H81" s="622" t="s">
        <v>733</v>
      </c>
      <c r="I81" s="100">
        <f>VLOOKUP(H81,References!$B$7:$F$249,5,FALSE)</f>
        <v>67</v>
      </c>
    </row>
    <row r="82" spans="1:12" ht="16" x14ac:dyDescent="0.2">
      <c r="A82" s="838"/>
      <c r="B82" s="869"/>
      <c r="C82" s="149" t="s">
        <v>657</v>
      </c>
      <c r="D82" s="87" t="s">
        <v>768</v>
      </c>
      <c r="E82" s="392" t="s">
        <v>662</v>
      </c>
      <c r="F82" s="617" t="s">
        <v>696</v>
      </c>
      <c r="G82" s="617" t="s">
        <v>664</v>
      </c>
      <c r="H82" s="622" t="s">
        <v>712</v>
      </c>
      <c r="I82" s="100">
        <f>VLOOKUP(H82,References!$B$7:$F$249,5,FALSE)</f>
        <v>5</v>
      </c>
    </row>
    <row r="83" spans="1:12" ht="16" x14ac:dyDescent="0.2">
      <c r="A83" s="838"/>
      <c r="B83" s="869"/>
      <c r="C83" s="149" t="s">
        <v>657</v>
      </c>
      <c r="D83" s="87" t="s">
        <v>769</v>
      </c>
      <c r="E83" s="392" t="s">
        <v>662</v>
      </c>
      <c r="F83" s="617" t="s">
        <v>663</v>
      </c>
      <c r="G83" s="617" t="s">
        <v>664</v>
      </c>
      <c r="H83" s="622" t="s">
        <v>692</v>
      </c>
      <c r="I83" s="100">
        <f>VLOOKUP(H83,References!$B$7:$F$249,5,FALSE)</f>
        <v>69</v>
      </c>
    </row>
    <row r="84" spans="1:12" ht="16" x14ac:dyDescent="0.2">
      <c r="A84" s="838"/>
      <c r="B84" s="869"/>
      <c r="C84" s="149" t="s">
        <v>657</v>
      </c>
      <c r="D84" s="87" t="s">
        <v>770</v>
      </c>
      <c r="E84" s="392" t="s">
        <v>662</v>
      </c>
      <c r="F84" s="617" t="s">
        <v>663</v>
      </c>
      <c r="G84" s="617" t="s">
        <v>664</v>
      </c>
      <c r="H84" s="622" t="s">
        <v>665</v>
      </c>
      <c r="I84" s="100">
        <f>VLOOKUP(H84,References!$B$7:$F$249,5,FALSE)</f>
        <v>144</v>
      </c>
    </row>
    <row r="85" spans="1:12" ht="16" x14ac:dyDescent="0.2">
      <c r="A85" s="838"/>
      <c r="B85" s="869"/>
      <c r="C85" s="149" t="s">
        <v>657</v>
      </c>
      <c r="D85" s="87" t="s">
        <v>771</v>
      </c>
      <c r="E85" s="58" t="s">
        <v>667</v>
      </c>
      <c r="F85" s="617" t="s">
        <v>663</v>
      </c>
      <c r="G85" s="617" t="s">
        <v>682</v>
      </c>
      <c r="H85" s="622" t="s">
        <v>683</v>
      </c>
      <c r="I85" s="100">
        <f>VLOOKUP(H85,References!$B$7:$F$249,5,FALSE)</f>
        <v>151</v>
      </c>
    </row>
    <row r="86" spans="1:12" ht="16" x14ac:dyDescent="0.2">
      <c r="A86" s="838"/>
      <c r="B86" s="869"/>
      <c r="C86" s="149" t="s">
        <v>657</v>
      </c>
      <c r="D86" s="87" t="s">
        <v>772</v>
      </c>
      <c r="E86" s="58" t="s">
        <v>667</v>
      </c>
      <c r="F86" s="617" t="s">
        <v>668</v>
      </c>
      <c r="G86" s="617" t="s">
        <v>669</v>
      </c>
      <c r="H86" s="622" t="s">
        <v>670</v>
      </c>
      <c r="I86" s="100">
        <f>VLOOKUP(H86,References!$B$7:$F$249,5,FALSE)</f>
        <v>43</v>
      </c>
    </row>
    <row r="87" spans="1:12" ht="32" x14ac:dyDescent="0.2">
      <c r="A87" s="838"/>
      <c r="B87" s="869"/>
      <c r="C87" s="149" t="s">
        <v>657</v>
      </c>
      <c r="D87" s="87" t="s">
        <v>773</v>
      </c>
      <c r="E87" s="392" t="s">
        <v>662</v>
      </c>
      <c r="F87" s="617" t="s">
        <v>696</v>
      </c>
      <c r="G87" s="617" t="s">
        <v>664</v>
      </c>
      <c r="H87" s="622" t="s">
        <v>697</v>
      </c>
      <c r="I87" s="100">
        <f>VLOOKUP(H87,References!$B$7:$F$249,5,FALSE)</f>
        <v>21</v>
      </c>
    </row>
    <row r="88" spans="1:12" ht="16" x14ac:dyDescent="0.2">
      <c r="A88" s="838"/>
      <c r="B88" s="869"/>
      <c r="C88" s="149" t="s">
        <v>657</v>
      </c>
      <c r="D88" s="87" t="s">
        <v>774</v>
      </c>
      <c r="E88" s="392" t="s">
        <v>662</v>
      </c>
      <c r="F88" s="617" t="s">
        <v>663</v>
      </c>
      <c r="G88" s="617" t="s">
        <v>664</v>
      </c>
      <c r="H88" s="622" t="s">
        <v>719</v>
      </c>
      <c r="I88" s="100">
        <f>VLOOKUP(H88,References!$B$7:$F$249,5,FALSE)</f>
        <v>89</v>
      </c>
    </row>
    <row r="89" spans="1:12" ht="16" x14ac:dyDescent="0.2">
      <c r="A89" s="838"/>
      <c r="B89" s="869"/>
      <c r="C89" s="149" t="s">
        <v>657</v>
      </c>
      <c r="D89" s="87" t="s">
        <v>775</v>
      </c>
      <c r="E89" s="392" t="s">
        <v>662</v>
      </c>
      <c r="F89" s="617" t="s">
        <v>663</v>
      </c>
      <c r="G89" s="617" t="s">
        <v>664</v>
      </c>
      <c r="H89" s="622" t="s">
        <v>754</v>
      </c>
      <c r="I89" s="100">
        <f>VLOOKUP(H89,References!$B$7:$F$249,5,FALSE)</f>
        <v>94</v>
      </c>
    </row>
    <row r="90" spans="1:12" ht="16" x14ac:dyDescent="0.2">
      <c r="A90" s="838"/>
      <c r="B90" s="869"/>
      <c r="C90" s="149" t="s">
        <v>671</v>
      </c>
      <c r="D90" s="87" t="s">
        <v>776</v>
      </c>
      <c r="E90" s="58" t="s">
        <v>662</v>
      </c>
      <c r="F90" s="617" t="s">
        <v>668</v>
      </c>
      <c r="G90" s="617" t="s">
        <v>664</v>
      </c>
      <c r="H90" s="622" t="s">
        <v>688</v>
      </c>
      <c r="I90" s="100">
        <f>VLOOKUP(H90,References!$B$7:$F$249,5,FALSE)</f>
        <v>130</v>
      </c>
    </row>
    <row r="91" spans="1:12" ht="16" x14ac:dyDescent="0.2">
      <c r="A91" s="838"/>
      <c r="B91" s="869"/>
      <c r="C91" s="149" t="s">
        <v>671</v>
      </c>
      <c r="D91" s="87" t="s">
        <v>777</v>
      </c>
      <c r="E91" s="392" t="s">
        <v>662</v>
      </c>
      <c r="F91" s="617" t="s">
        <v>663</v>
      </c>
      <c r="G91" s="617" t="s">
        <v>664</v>
      </c>
      <c r="H91" s="622" t="s">
        <v>673</v>
      </c>
      <c r="I91" s="100">
        <f>VLOOKUP(H91,References!$B$7:$F$249,5,FALSE)</f>
        <v>91</v>
      </c>
    </row>
    <row r="92" spans="1:12" ht="16" x14ac:dyDescent="0.2">
      <c r="A92" s="838"/>
      <c r="B92" s="869"/>
      <c r="C92" s="149" t="s">
        <v>657</v>
      </c>
      <c r="D92" s="87" t="s">
        <v>778</v>
      </c>
      <c r="E92" s="58" t="s">
        <v>667</v>
      </c>
      <c r="F92" s="617" t="s">
        <v>668</v>
      </c>
      <c r="G92" s="617" t="s">
        <v>669</v>
      </c>
      <c r="H92" s="622" t="s">
        <v>675</v>
      </c>
      <c r="I92" s="100">
        <f>VLOOKUP(H92,References!$B$7:$F$249,5,FALSE)</f>
        <v>97</v>
      </c>
    </row>
    <row r="93" spans="1:12" ht="16" x14ac:dyDescent="0.2">
      <c r="A93" s="838"/>
      <c r="B93" s="869"/>
      <c r="C93" s="149" t="s">
        <v>671</v>
      </c>
      <c r="D93" s="87" t="s">
        <v>779</v>
      </c>
      <c r="E93" s="392" t="s">
        <v>677</v>
      </c>
      <c r="F93" s="617" t="s">
        <v>668</v>
      </c>
      <c r="G93" s="617" t="s">
        <v>664</v>
      </c>
      <c r="H93" s="622" t="s">
        <v>678</v>
      </c>
      <c r="I93" s="100">
        <f>VLOOKUP(H93,References!$B$7:$F$249,5,FALSE)</f>
        <v>7</v>
      </c>
    </row>
    <row r="94" spans="1:12" s="44" customFormat="1" ht="16" x14ac:dyDescent="0.2">
      <c r="A94" s="838"/>
      <c r="B94" s="869"/>
      <c r="C94" s="149" t="s">
        <v>657</v>
      </c>
      <c r="D94" s="87" t="s">
        <v>780</v>
      </c>
      <c r="E94" s="392" t="s">
        <v>662</v>
      </c>
      <c r="F94" s="617" t="s">
        <v>663</v>
      </c>
      <c r="G94" s="617" t="s">
        <v>664</v>
      </c>
      <c r="H94" s="622" t="s">
        <v>724</v>
      </c>
      <c r="I94" s="100">
        <f>VLOOKUP(H94,References!$B$7:$F$249,5,FALSE)</f>
        <v>90</v>
      </c>
      <c r="J94" s="6"/>
      <c r="K94" s="6"/>
      <c r="L94" s="6"/>
    </row>
    <row r="95" spans="1:12" s="44" customFormat="1" ht="16" x14ac:dyDescent="0.2">
      <c r="A95" s="838"/>
      <c r="B95" s="869"/>
      <c r="C95" s="149" t="s">
        <v>657</v>
      </c>
      <c r="D95" s="87" t="s">
        <v>781</v>
      </c>
      <c r="E95" s="630" t="s">
        <v>662</v>
      </c>
      <c r="F95" s="617" t="s">
        <v>663</v>
      </c>
      <c r="G95" s="617" t="s">
        <v>664</v>
      </c>
      <c r="H95" s="622" t="s">
        <v>705</v>
      </c>
      <c r="I95" s="100">
        <f>VLOOKUP(H95,References!$B$7:$F$249,5,FALSE)</f>
        <v>70</v>
      </c>
      <c r="J95" s="6"/>
      <c r="K95" s="6"/>
      <c r="L95" s="6"/>
    </row>
    <row r="96" spans="1:12" ht="16" x14ac:dyDescent="0.2">
      <c r="A96" s="840"/>
      <c r="B96" s="851"/>
      <c r="C96" s="182" t="s">
        <v>657</v>
      </c>
      <c r="D96" s="624" t="s">
        <v>782</v>
      </c>
      <c r="E96" s="631" t="s">
        <v>27</v>
      </c>
      <c r="F96" s="620" t="s">
        <v>33</v>
      </c>
      <c r="G96" s="620" t="s">
        <v>33</v>
      </c>
      <c r="H96" s="626" t="s">
        <v>707</v>
      </c>
      <c r="I96" s="122">
        <f>VLOOKUP(H96,References!$B$7:$F$249,5,FALSE)</f>
        <v>3</v>
      </c>
    </row>
    <row r="97" spans="1:12" ht="16" x14ac:dyDescent="0.2">
      <c r="A97" s="838" t="s">
        <v>95</v>
      </c>
      <c r="B97" s="869" t="s">
        <v>96</v>
      </c>
      <c r="C97" s="149" t="s">
        <v>657</v>
      </c>
      <c r="D97" s="87" t="s">
        <v>783</v>
      </c>
      <c r="E97" s="58" t="s">
        <v>667</v>
      </c>
      <c r="F97" s="617" t="s">
        <v>663</v>
      </c>
      <c r="G97" s="617" t="s">
        <v>669</v>
      </c>
      <c r="H97" s="622" t="s">
        <v>729</v>
      </c>
      <c r="I97" s="100">
        <f>VLOOKUP(H97,References!$B$7:$F$249,5,FALSE)</f>
        <v>49</v>
      </c>
    </row>
    <row r="98" spans="1:12" ht="16" x14ac:dyDescent="0.2">
      <c r="A98" s="838"/>
      <c r="B98" s="869"/>
      <c r="C98" s="149" t="s">
        <v>657</v>
      </c>
      <c r="D98" s="87" t="s">
        <v>784</v>
      </c>
      <c r="E98" s="58" t="s">
        <v>667</v>
      </c>
      <c r="F98" s="617" t="s">
        <v>668</v>
      </c>
      <c r="G98" s="617" t="s">
        <v>682</v>
      </c>
      <c r="H98" s="622" t="s">
        <v>710</v>
      </c>
      <c r="I98" s="100">
        <f>VLOOKUP(H98,References!$B$7:$F$249,5,FALSE)</f>
        <v>35</v>
      </c>
    </row>
    <row r="99" spans="1:12" ht="16" x14ac:dyDescent="0.2">
      <c r="A99" s="838"/>
      <c r="B99" s="869"/>
      <c r="C99" s="149" t="s">
        <v>657</v>
      </c>
      <c r="D99" s="87" t="s">
        <v>785</v>
      </c>
      <c r="E99" s="392" t="s">
        <v>662</v>
      </c>
      <c r="F99" s="617" t="s">
        <v>696</v>
      </c>
      <c r="G99" s="617" t="s">
        <v>664</v>
      </c>
      <c r="H99" s="622" t="s">
        <v>712</v>
      </c>
      <c r="I99" s="100">
        <f>VLOOKUP(H99,References!$B$7:$F$249,5,FALSE)</f>
        <v>5</v>
      </c>
    </row>
    <row r="100" spans="1:12" ht="16" x14ac:dyDescent="0.2">
      <c r="A100" s="838"/>
      <c r="B100" s="869"/>
      <c r="C100" s="149" t="s">
        <v>657</v>
      </c>
      <c r="D100" s="87" t="s">
        <v>786</v>
      </c>
      <c r="E100" s="392" t="s">
        <v>662</v>
      </c>
      <c r="F100" s="617" t="s">
        <v>663</v>
      </c>
      <c r="G100" s="617" t="s">
        <v>664</v>
      </c>
      <c r="H100" s="622" t="s">
        <v>692</v>
      </c>
      <c r="I100" s="100">
        <f>VLOOKUP(H100,References!$B$7:$F$249,5,FALSE)</f>
        <v>69</v>
      </c>
    </row>
    <row r="101" spans="1:12" ht="16" x14ac:dyDescent="0.2">
      <c r="A101" s="838"/>
      <c r="B101" s="869"/>
      <c r="C101" s="149" t="s">
        <v>657</v>
      </c>
      <c r="D101" s="87" t="s">
        <v>787</v>
      </c>
      <c r="E101" s="58" t="s">
        <v>667</v>
      </c>
      <c r="F101" s="617" t="s">
        <v>663</v>
      </c>
      <c r="G101" s="617" t="s">
        <v>682</v>
      </c>
      <c r="H101" s="622" t="s">
        <v>683</v>
      </c>
      <c r="I101" s="100">
        <f>VLOOKUP(H101,References!$B$7:$F$249,5,FALSE)</f>
        <v>151</v>
      </c>
    </row>
    <row r="102" spans="1:12" ht="16" x14ac:dyDescent="0.2">
      <c r="A102" s="838"/>
      <c r="B102" s="869"/>
      <c r="C102" s="149" t="s">
        <v>657</v>
      </c>
      <c r="D102" s="87" t="s">
        <v>788</v>
      </c>
      <c r="E102" s="392" t="s">
        <v>662</v>
      </c>
      <c r="F102" s="617" t="s">
        <v>663</v>
      </c>
      <c r="G102" s="617" t="s">
        <v>664</v>
      </c>
      <c r="H102" s="622" t="s">
        <v>665</v>
      </c>
      <c r="I102" s="100">
        <f>VLOOKUP(H102,References!$B$7:$F$249,5,FALSE)</f>
        <v>144</v>
      </c>
    </row>
    <row r="103" spans="1:12" ht="16" x14ac:dyDescent="0.2">
      <c r="A103" s="838"/>
      <c r="B103" s="869"/>
      <c r="C103" s="149" t="s">
        <v>657</v>
      </c>
      <c r="D103" s="87" t="s">
        <v>789</v>
      </c>
      <c r="E103" s="392" t="s">
        <v>662</v>
      </c>
      <c r="F103" s="617" t="s">
        <v>663</v>
      </c>
      <c r="G103" s="617" t="s">
        <v>664</v>
      </c>
      <c r="H103" s="622" t="s">
        <v>739</v>
      </c>
      <c r="I103" s="100">
        <f>VLOOKUP(H103,References!$B$7:$F$249,5,FALSE)</f>
        <v>93</v>
      </c>
    </row>
    <row r="104" spans="1:12" ht="16" x14ac:dyDescent="0.2">
      <c r="A104" s="838"/>
      <c r="B104" s="869"/>
      <c r="C104" s="149" t="s">
        <v>657</v>
      </c>
      <c r="D104" s="87" t="s">
        <v>790</v>
      </c>
      <c r="E104" s="58" t="s">
        <v>667</v>
      </c>
      <c r="F104" s="617" t="s">
        <v>668</v>
      </c>
      <c r="G104" s="617" t="s">
        <v>669</v>
      </c>
      <c r="H104" s="622" t="s">
        <v>670</v>
      </c>
      <c r="I104" s="100">
        <f>VLOOKUP(H104,References!$B$7:$F$249,5,FALSE)</f>
        <v>43</v>
      </c>
    </row>
    <row r="105" spans="1:12" ht="16" x14ac:dyDescent="0.2">
      <c r="A105" s="838"/>
      <c r="B105" s="869"/>
      <c r="C105" s="149" t="s">
        <v>657</v>
      </c>
      <c r="D105" s="87" t="s">
        <v>791</v>
      </c>
      <c r="E105" s="392" t="s">
        <v>662</v>
      </c>
      <c r="F105" s="617" t="s">
        <v>696</v>
      </c>
      <c r="G105" s="617" t="s">
        <v>664</v>
      </c>
      <c r="H105" s="622" t="s">
        <v>697</v>
      </c>
      <c r="I105" s="100">
        <f>VLOOKUP(H105,References!$B$7:$F$249,5,FALSE)</f>
        <v>21</v>
      </c>
    </row>
    <row r="106" spans="1:12" ht="16" x14ac:dyDescent="0.2">
      <c r="A106" s="838"/>
      <c r="B106" s="869"/>
      <c r="C106" s="149" t="s">
        <v>657</v>
      </c>
      <c r="D106" s="87" t="s">
        <v>792</v>
      </c>
      <c r="E106" s="392" t="s">
        <v>662</v>
      </c>
      <c r="F106" s="617" t="s">
        <v>663</v>
      </c>
      <c r="G106" s="617" t="s">
        <v>664</v>
      </c>
      <c r="H106" s="622" t="s">
        <v>719</v>
      </c>
      <c r="I106" s="100">
        <f>VLOOKUP(H106,References!$B$7:$F$249,5,FALSE)</f>
        <v>89</v>
      </c>
    </row>
    <row r="107" spans="1:12" ht="16" x14ac:dyDescent="0.2">
      <c r="A107" s="838"/>
      <c r="B107" s="869"/>
      <c r="C107" s="149" t="s">
        <v>657</v>
      </c>
      <c r="D107" s="87" t="s">
        <v>793</v>
      </c>
      <c r="E107" s="392" t="s">
        <v>662</v>
      </c>
      <c r="F107" s="617" t="s">
        <v>663</v>
      </c>
      <c r="G107" s="617" t="s">
        <v>664</v>
      </c>
      <c r="H107" s="622" t="s">
        <v>754</v>
      </c>
      <c r="I107" s="100">
        <f>VLOOKUP(H107,References!$B$7:$F$249,5,FALSE)</f>
        <v>94</v>
      </c>
    </row>
    <row r="108" spans="1:12" ht="16" x14ac:dyDescent="0.2">
      <c r="A108" s="838"/>
      <c r="B108" s="869"/>
      <c r="C108" s="149" t="s">
        <v>671</v>
      </c>
      <c r="D108" s="87" t="s">
        <v>794</v>
      </c>
      <c r="E108" s="392" t="s">
        <v>662</v>
      </c>
      <c r="F108" s="617" t="s">
        <v>663</v>
      </c>
      <c r="G108" s="617" t="s">
        <v>664</v>
      </c>
      <c r="H108" s="622" t="s">
        <v>673</v>
      </c>
      <c r="I108" s="100">
        <f>VLOOKUP(H108,References!$B$7:$F$249,5,FALSE)</f>
        <v>91</v>
      </c>
    </row>
    <row r="109" spans="1:12" ht="16" x14ac:dyDescent="0.2">
      <c r="A109" s="838"/>
      <c r="B109" s="869"/>
      <c r="C109" s="149" t="s">
        <v>671</v>
      </c>
      <c r="D109" s="87" t="s">
        <v>795</v>
      </c>
      <c r="E109" s="58" t="s">
        <v>662</v>
      </c>
      <c r="F109" s="617" t="s">
        <v>668</v>
      </c>
      <c r="G109" s="617" t="s">
        <v>664</v>
      </c>
      <c r="H109" s="622" t="s">
        <v>688</v>
      </c>
      <c r="I109" s="100">
        <f>VLOOKUP(H109,References!$B$7:$F$249,5,FALSE)</f>
        <v>130</v>
      </c>
    </row>
    <row r="110" spans="1:12" ht="16" x14ac:dyDescent="0.2">
      <c r="A110" s="838"/>
      <c r="B110" s="869"/>
      <c r="C110" s="149" t="s">
        <v>657</v>
      </c>
      <c r="D110" s="87" t="s">
        <v>796</v>
      </c>
      <c r="E110" s="58" t="s">
        <v>667</v>
      </c>
      <c r="F110" s="617" t="s">
        <v>668</v>
      </c>
      <c r="G110" s="617" t="s">
        <v>669</v>
      </c>
      <c r="H110" s="622" t="s">
        <v>675</v>
      </c>
      <c r="I110" s="100">
        <f>VLOOKUP(H110,References!$B$7:$F$249,5,FALSE)</f>
        <v>97</v>
      </c>
    </row>
    <row r="111" spans="1:12" ht="16" x14ac:dyDescent="0.2">
      <c r="A111" s="838"/>
      <c r="B111" s="869"/>
      <c r="C111" s="149" t="s">
        <v>657</v>
      </c>
      <c r="D111" s="87" t="s">
        <v>797</v>
      </c>
      <c r="E111" s="392" t="s">
        <v>662</v>
      </c>
      <c r="F111" s="617" t="s">
        <v>663</v>
      </c>
      <c r="G111" s="617" t="s">
        <v>664</v>
      </c>
      <c r="H111" s="622" t="s">
        <v>724</v>
      </c>
      <c r="I111" s="100">
        <f>VLOOKUP(H111,References!$B$7:$F$249,5,FALSE)</f>
        <v>90</v>
      </c>
    </row>
    <row r="112" spans="1:12" s="44" customFormat="1" ht="16" x14ac:dyDescent="0.2">
      <c r="A112" s="838"/>
      <c r="B112" s="869"/>
      <c r="C112" s="149" t="s">
        <v>671</v>
      </c>
      <c r="D112" s="87" t="s">
        <v>798</v>
      </c>
      <c r="E112" s="392" t="s">
        <v>677</v>
      </c>
      <c r="F112" s="617" t="s">
        <v>668</v>
      </c>
      <c r="G112" s="617" t="s">
        <v>664</v>
      </c>
      <c r="H112" s="622" t="s">
        <v>678</v>
      </c>
      <c r="I112" s="100">
        <f>VLOOKUP(H112,References!$B$7:$F$249,5,FALSE)</f>
        <v>7</v>
      </c>
      <c r="J112" s="6"/>
      <c r="K112" s="6"/>
      <c r="L112" s="6"/>
    </row>
    <row r="113" spans="1:12" ht="16" x14ac:dyDescent="0.2">
      <c r="A113" s="838"/>
      <c r="B113" s="869"/>
      <c r="C113" s="182" t="s">
        <v>657</v>
      </c>
      <c r="D113" s="624" t="s">
        <v>799</v>
      </c>
      <c r="E113" s="631" t="s">
        <v>662</v>
      </c>
      <c r="F113" s="620" t="s">
        <v>663</v>
      </c>
      <c r="G113" s="620" t="s">
        <v>664</v>
      </c>
      <c r="H113" s="626" t="s">
        <v>705</v>
      </c>
      <c r="I113" s="122">
        <f>VLOOKUP(H113,References!$B$7:$F$249,5,FALSE)</f>
        <v>70</v>
      </c>
    </row>
    <row r="114" spans="1:12" ht="16" x14ac:dyDescent="0.2">
      <c r="A114" s="839" t="s">
        <v>106</v>
      </c>
      <c r="B114" s="850" t="s">
        <v>107</v>
      </c>
      <c r="C114" s="149" t="s">
        <v>657</v>
      </c>
      <c r="D114" s="87" t="s">
        <v>800</v>
      </c>
      <c r="E114" s="58" t="s">
        <v>667</v>
      </c>
      <c r="F114" s="617" t="s">
        <v>663</v>
      </c>
      <c r="G114" s="617" t="s">
        <v>669</v>
      </c>
      <c r="H114" s="622" t="s">
        <v>729</v>
      </c>
      <c r="I114" s="100">
        <f>VLOOKUP(H114,References!$B$7:$F$249,5,FALSE)</f>
        <v>49</v>
      </c>
    </row>
    <row r="115" spans="1:12" ht="16" x14ac:dyDescent="0.2">
      <c r="A115" s="838"/>
      <c r="B115" s="869"/>
      <c r="C115" s="149" t="s">
        <v>657</v>
      </c>
      <c r="D115" s="87" t="s">
        <v>801</v>
      </c>
      <c r="E115" s="392" t="s">
        <v>662</v>
      </c>
      <c r="F115" s="617" t="s">
        <v>696</v>
      </c>
      <c r="G115" s="617" t="s">
        <v>664</v>
      </c>
      <c r="H115" s="622" t="s">
        <v>712</v>
      </c>
      <c r="I115" s="100">
        <f>VLOOKUP(H115,References!$B$7:$F$249,5,FALSE)</f>
        <v>5</v>
      </c>
    </row>
    <row r="116" spans="1:12" ht="16" x14ac:dyDescent="0.2">
      <c r="A116" s="838"/>
      <c r="B116" s="869"/>
      <c r="C116" s="149" t="s">
        <v>657</v>
      </c>
      <c r="D116" s="87" t="s">
        <v>802</v>
      </c>
      <c r="E116" s="392" t="s">
        <v>662</v>
      </c>
      <c r="F116" s="617" t="s">
        <v>663</v>
      </c>
      <c r="G116" s="617" t="s">
        <v>664</v>
      </c>
      <c r="H116" s="622" t="s">
        <v>692</v>
      </c>
      <c r="I116" s="100">
        <f>VLOOKUP(H116,References!$B$7:$F$249,5,FALSE)</f>
        <v>69</v>
      </c>
    </row>
    <row r="117" spans="1:12" ht="16" x14ac:dyDescent="0.2">
      <c r="A117" s="838"/>
      <c r="B117" s="869"/>
      <c r="C117" s="149" t="s">
        <v>657</v>
      </c>
      <c r="D117" s="87" t="s">
        <v>803</v>
      </c>
      <c r="E117" s="392" t="s">
        <v>662</v>
      </c>
      <c r="F117" s="617" t="s">
        <v>663</v>
      </c>
      <c r="G117" s="617" t="s">
        <v>664</v>
      </c>
      <c r="H117" s="622" t="s">
        <v>739</v>
      </c>
      <c r="I117" s="100">
        <f>VLOOKUP(H117,References!$B$7:$F$249,5,FALSE)</f>
        <v>93</v>
      </c>
    </row>
    <row r="118" spans="1:12" ht="16" x14ac:dyDescent="0.2">
      <c r="A118" s="838"/>
      <c r="B118" s="869"/>
      <c r="C118" s="149" t="s">
        <v>657</v>
      </c>
      <c r="D118" s="87" t="s">
        <v>804</v>
      </c>
      <c r="E118" s="392" t="s">
        <v>662</v>
      </c>
      <c r="F118" s="617" t="s">
        <v>663</v>
      </c>
      <c r="G118" s="617" t="s">
        <v>664</v>
      </c>
      <c r="H118" s="622" t="s">
        <v>665</v>
      </c>
      <c r="I118" s="100">
        <f>VLOOKUP(H118,References!$B$7:$F$249,5,FALSE)</f>
        <v>144</v>
      </c>
    </row>
    <row r="119" spans="1:12" ht="16" x14ac:dyDescent="0.2">
      <c r="A119" s="838"/>
      <c r="B119" s="869"/>
      <c r="C119" s="149" t="s">
        <v>657</v>
      </c>
      <c r="D119" s="87" t="s">
        <v>805</v>
      </c>
      <c r="E119" s="58" t="s">
        <v>667</v>
      </c>
      <c r="F119" s="617" t="s">
        <v>668</v>
      </c>
      <c r="G119" s="617" t="s">
        <v>669</v>
      </c>
      <c r="H119" s="622" t="s">
        <v>670</v>
      </c>
      <c r="I119" s="100">
        <f>VLOOKUP(H119,References!$B$7:$F$249,5,FALSE)</f>
        <v>43</v>
      </c>
    </row>
    <row r="120" spans="1:12" ht="16" x14ac:dyDescent="0.2">
      <c r="A120" s="838"/>
      <c r="B120" s="869"/>
      <c r="C120" s="149" t="s">
        <v>657</v>
      </c>
      <c r="D120" s="87" t="s">
        <v>806</v>
      </c>
      <c r="E120" s="392" t="s">
        <v>662</v>
      </c>
      <c r="F120" s="617" t="s">
        <v>696</v>
      </c>
      <c r="G120" s="617" t="s">
        <v>664</v>
      </c>
      <c r="H120" s="622" t="s">
        <v>697</v>
      </c>
      <c r="I120" s="100">
        <f>VLOOKUP(H120,References!$B$7:$F$249,5,FALSE)</f>
        <v>21</v>
      </c>
    </row>
    <row r="121" spans="1:12" ht="16" x14ac:dyDescent="0.2">
      <c r="A121" s="838"/>
      <c r="B121" s="869"/>
      <c r="C121" s="149" t="s">
        <v>657</v>
      </c>
      <c r="D121" s="87" t="s">
        <v>807</v>
      </c>
      <c r="E121" s="392" t="s">
        <v>662</v>
      </c>
      <c r="F121" s="617" t="s">
        <v>663</v>
      </c>
      <c r="G121" s="617" t="s">
        <v>664</v>
      </c>
      <c r="H121" s="622" t="s">
        <v>719</v>
      </c>
      <c r="I121" s="100">
        <f>VLOOKUP(H121,References!$B$7:$F$249,5,FALSE)</f>
        <v>89</v>
      </c>
    </row>
    <row r="122" spans="1:12" ht="16" x14ac:dyDescent="0.2">
      <c r="A122" s="838"/>
      <c r="B122" s="869"/>
      <c r="C122" s="149" t="s">
        <v>657</v>
      </c>
      <c r="D122" s="87" t="s">
        <v>808</v>
      </c>
      <c r="E122" s="392" t="s">
        <v>662</v>
      </c>
      <c r="F122" s="617" t="s">
        <v>663</v>
      </c>
      <c r="G122" s="617" t="s">
        <v>664</v>
      </c>
      <c r="H122" s="622" t="s">
        <v>754</v>
      </c>
      <c r="I122" s="100">
        <f>VLOOKUP(H122,References!$B$7:$F$249,5,FALSE)</f>
        <v>94</v>
      </c>
    </row>
    <row r="123" spans="1:12" ht="16" x14ac:dyDescent="0.2">
      <c r="A123" s="838"/>
      <c r="B123" s="869"/>
      <c r="C123" s="149" t="s">
        <v>671</v>
      </c>
      <c r="D123" s="87" t="s">
        <v>809</v>
      </c>
      <c r="E123" s="392" t="s">
        <v>662</v>
      </c>
      <c r="F123" s="617" t="s">
        <v>663</v>
      </c>
      <c r="G123" s="617" t="s">
        <v>664</v>
      </c>
      <c r="H123" s="622" t="s">
        <v>673</v>
      </c>
      <c r="I123" s="100">
        <f>VLOOKUP(H123,References!$B$7:$F$249,5,FALSE)</f>
        <v>91</v>
      </c>
    </row>
    <row r="124" spans="1:12" ht="16" x14ac:dyDescent="0.2">
      <c r="A124" s="838"/>
      <c r="B124" s="869"/>
      <c r="C124" s="149" t="s">
        <v>671</v>
      </c>
      <c r="D124" s="87" t="s">
        <v>810</v>
      </c>
      <c r="E124" s="58" t="s">
        <v>662</v>
      </c>
      <c r="F124" s="617" t="s">
        <v>668</v>
      </c>
      <c r="G124" s="617" t="s">
        <v>664</v>
      </c>
      <c r="H124" s="622" t="s">
        <v>688</v>
      </c>
      <c r="I124" s="100">
        <f>VLOOKUP(H124,References!$B$7:$F$249,5,FALSE)</f>
        <v>130</v>
      </c>
    </row>
    <row r="125" spans="1:12" ht="16" x14ac:dyDescent="0.2">
      <c r="A125" s="838"/>
      <c r="B125" s="869"/>
      <c r="C125" s="149" t="s">
        <v>657</v>
      </c>
      <c r="D125" s="87" t="s">
        <v>811</v>
      </c>
      <c r="E125" s="58" t="s">
        <v>667</v>
      </c>
      <c r="F125" s="617" t="s">
        <v>668</v>
      </c>
      <c r="G125" s="617" t="s">
        <v>669</v>
      </c>
      <c r="H125" s="622" t="s">
        <v>675</v>
      </c>
      <c r="I125" s="100">
        <f>VLOOKUP(H125,References!$B$7:$F$249,5,FALSE)</f>
        <v>97</v>
      </c>
    </row>
    <row r="126" spans="1:12" s="44" customFormat="1" ht="16" x14ac:dyDescent="0.2">
      <c r="A126" s="838"/>
      <c r="B126" s="869"/>
      <c r="C126" s="149" t="s">
        <v>671</v>
      </c>
      <c r="D126" s="87" t="s">
        <v>812</v>
      </c>
      <c r="E126" s="392" t="s">
        <v>677</v>
      </c>
      <c r="F126" s="617" t="s">
        <v>668</v>
      </c>
      <c r="G126" s="617" t="s">
        <v>664</v>
      </c>
      <c r="H126" s="622" t="s">
        <v>678</v>
      </c>
      <c r="I126" s="100">
        <f>VLOOKUP(H126,References!$B$7:$F$249,5,FALSE)</f>
        <v>7</v>
      </c>
      <c r="J126" s="6"/>
      <c r="K126" s="6"/>
      <c r="L126" s="6"/>
    </row>
    <row r="127" spans="1:12" s="44" customFormat="1" ht="16" x14ac:dyDescent="0.2">
      <c r="A127" s="838"/>
      <c r="B127" s="869"/>
      <c r="C127" s="149" t="s">
        <v>657</v>
      </c>
      <c r="D127" s="87" t="s">
        <v>813</v>
      </c>
      <c r="E127" s="392" t="s">
        <v>662</v>
      </c>
      <c r="F127" s="617" t="s">
        <v>663</v>
      </c>
      <c r="G127" s="617" t="s">
        <v>664</v>
      </c>
      <c r="H127" s="622" t="s">
        <v>724</v>
      </c>
      <c r="I127" s="100">
        <f>VLOOKUP(H127,References!$B$7:$F$249,5,FALSE)</f>
        <v>90</v>
      </c>
      <c r="J127" s="6"/>
      <c r="K127" s="6"/>
      <c r="L127" s="6"/>
    </row>
    <row r="128" spans="1:12" ht="16" x14ac:dyDescent="0.2">
      <c r="A128" s="840"/>
      <c r="B128" s="851"/>
      <c r="C128" s="182" t="s">
        <v>657</v>
      </c>
      <c r="D128" s="624" t="s">
        <v>814</v>
      </c>
      <c r="E128" s="625" t="s">
        <v>27</v>
      </c>
      <c r="F128" s="620" t="s">
        <v>33</v>
      </c>
      <c r="G128" s="620" t="s">
        <v>33</v>
      </c>
      <c r="H128" s="626" t="s">
        <v>707</v>
      </c>
      <c r="I128" s="122">
        <f>VLOOKUP(H128,References!$B$7:$F$249,5,FALSE)</f>
        <v>3</v>
      </c>
    </row>
    <row r="129" spans="1:11" ht="16" x14ac:dyDescent="0.2">
      <c r="A129" s="838" t="s">
        <v>117</v>
      </c>
      <c r="B129" s="869" t="s">
        <v>118</v>
      </c>
      <c r="C129" s="149" t="s">
        <v>657</v>
      </c>
      <c r="D129" s="87" t="s">
        <v>815</v>
      </c>
      <c r="E129" s="392" t="s">
        <v>662</v>
      </c>
      <c r="F129" s="617" t="s">
        <v>663</v>
      </c>
      <c r="G129" s="617" t="s">
        <v>664</v>
      </c>
      <c r="H129" s="622" t="s">
        <v>692</v>
      </c>
      <c r="I129" s="100">
        <f>VLOOKUP(H129,References!$B$7:$F$249,5,FALSE)</f>
        <v>69</v>
      </c>
    </row>
    <row r="130" spans="1:11" ht="16" x14ac:dyDescent="0.2">
      <c r="A130" s="838"/>
      <c r="B130" s="869"/>
      <c r="C130" s="149" t="s">
        <v>657</v>
      </c>
      <c r="D130" s="87" t="s">
        <v>816</v>
      </c>
      <c r="E130" s="392" t="s">
        <v>662</v>
      </c>
      <c r="F130" s="617" t="s">
        <v>663</v>
      </c>
      <c r="G130" s="617" t="s">
        <v>664</v>
      </c>
      <c r="H130" s="622" t="s">
        <v>665</v>
      </c>
      <c r="I130" s="100">
        <f>VLOOKUP(H130,References!$B$7:$F$249,5,FALSE)</f>
        <v>144</v>
      </c>
    </row>
    <row r="131" spans="1:11" ht="16" x14ac:dyDescent="0.2">
      <c r="A131" s="838"/>
      <c r="B131" s="869"/>
      <c r="C131" s="149" t="s">
        <v>657</v>
      </c>
      <c r="D131" s="87" t="s">
        <v>817</v>
      </c>
      <c r="E131" s="392" t="s">
        <v>662</v>
      </c>
      <c r="F131" s="617" t="s">
        <v>663</v>
      </c>
      <c r="G131" s="617" t="s">
        <v>664</v>
      </c>
      <c r="H131" s="622" t="s">
        <v>739</v>
      </c>
      <c r="I131" s="100">
        <f>VLOOKUP(H131,References!$B$7:$F$249,5,FALSE)</f>
        <v>93</v>
      </c>
    </row>
    <row r="132" spans="1:11" ht="16" x14ac:dyDescent="0.2">
      <c r="A132" s="838"/>
      <c r="B132" s="869"/>
      <c r="C132" s="149" t="s">
        <v>657</v>
      </c>
      <c r="D132" s="87" t="s">
        <v>818</v>
      </c>
      <c r="E132" s="58" t="s">
        <v>667</v>
      </c>
      <c r="F132" s="617" t="s">
        <v>663</v>
      </c>
      <c r="G132" s="617" t="s">
        <v>682</v>
      </c>
      <c r="H132" s="622" t="s">
        <v>683</v>
      </c>
      <c r="I132" s="100">
        <f>VLOOKUP(H132,References!$B$7:$F$249,5,FALSE)</f>
        <v>151</v>
      </c>
    </row>
    <row r="133" spans="1:11" ht="16" x14ac:dyDescent="0.2">
      <c r="A133" s="838"/>
      <c r="B133" s="869"/>
      <c r="C133" s="149" t="s">
        <v>657</v>
      </c>
      <c r="D133" s="87" t="s">
        <v>819</v>
      </c>
      <c r="E133" s="392" t="s">
        <v>662</v>
      </c>
      <c r="F133" s="617" t="s">
        <v>696</v>
      </c>
      <c r="G133" s="617" t="s">
        <v>664</v>
      </c>
      <c r="H133" s="622" t="s">
        <v>697</v>
      </c>
      <c r="I133" s="100">
        <f>VLOOKUP(H133,References!$B$7:$F$249,5,FALSE)</f>
        <v>21</v>
      </c>
    </row>
    <row r="134" spans="1:11" ht="16" x14ac:dyDescent="0.2">
      <c r="A134" s="838"/>
      <c r="B134" s="869"/>
      <c r="C134" s="149" t="s">
        <v>657</v>
      </c>
      <c r="D134" s="87" t="s">
        <v>820</v>
      </c>
      <c r="E134" s="392" t="s">
        <v>662</v>
      </c>
      <c r="F134" s="617" t="s">
        <v>663</v>
      </c>
      <c r="G134" s="617" t="s">
        <v>664</v>
      </c>
      <c r="H134" s="622" t="s">
        <v>719</v>
      </c>
      <c r="I134" s="100">
        <f>VLOOKUP(H134,References!$B$7:$F$249,5,FALSE)</f>
        <v>89</v>
      </c>
    </row>
    <row r="135" spans="1:11" ht="16" x14ac:dyDescent="0.2">
      <c r="A135" s="838"/>
      <c r="B135" s="869"/>
      <c r="C135" s="149" t="s">
        <v>657</v>
      </c>
      <c r="D135" s="87" t="s">
        <v>821</v>
      </c>
      <c r="E135" s="58" t="s">
        <v>667</v>
      </c>
      <c r="F135" s="617" t="s">
        <v>668</v>
      </c>
      <c r="G135" s="617" t="s">
        <v>669</v>
      </c>
      <c r="H135" s="622" t="s">
        <v>675</v>
      </c>
      <c r="I135" s="100">
        <f>VLOOKUP(H135,References!$B$7:$F$249,5,FALSE)</f>
        <v>97</v>
      </c>
    </row>
    <row r="136" spans="1:11" ht="16" x14ac:dyDescent="0.2">
      <c r="A136" s="838"/>
      <c r="B136" s="869"/>
      <c r="C136" s="182" t="s">
        <v>671</v>
      </c>
      <c r="D136" s="624" t="s">
        <v>822</v>
      </c>
      <c r="E136" s="625" t="s">
        <v>677</v>
      </c>
      <c r="F136" s="620" t="s">
        <v>668</v>
      </c>
      <c r="G136" s="620" t="s">
        <v>664</v>
      </c>
      <c r="H136" s="626" t="s">
        <v>678</v>
      </c>
      <c r="I136" s="122">
        <f>VLOOKUP(H136,References!$B$7:$F$249,5,FALSE)</f>
        <v>7</v>
      </c>
    </row>
    <row r="137" spans="1:11" ht="16" x14ac:dyDescent="0.2">
      <c r="A137" s="839" t="s">
        <v>126</v>
      </c>
      <c r="B137" s="850" t="s">
        <v>127</v>
      </c>
      <c r="C137" s="149" t="s">
        <v>657</v>
      </c>
      <c r="D137" s="87" t="s">
        <v>823</v>
      </c>
      <c r="E137" s="258" t="s">
        <v>662</v>
      </c>
      <c r="F137" s="617" t="s">
        <v>663</v>
      </c>
      <c r="G137" s="617" t="s">
        <v>664</v>
      </c>
      <c r="H137" s="622" t="s">
        <v>719</v>
      </c>
      <c r="I137" s="100">
        <f>VLOOKUP(H137,References!$B$7:$F$249,5,FALSE)</f>
        <v>89</v>
      </c>
    </row>
    <row r="138" spans="1:11" ht="16" x14ac:dyDescent="0.2">
      <c r="A138" s="840"/>
      <c r="B138" s="851"/>
      <c r="C138" s="182" t="s">
        <v>671</v>
      </c>
      <c r="D138" s="624" t="s">
        <v>824</v>
      </c>
      <c r="E138" s="259" t="s">
        <v>677</v>
      </c>
      <c r="F138" s="620" t="s">
        <v>668</v>
      </c>
      <c r="G138" s="620" t="s">
        <v>664</v>
      </c>
      <c r="H138" s="626" t="s">
        <v>678</v>
      </c>
      <c r="I138" s="122">
        <f>VLOOKUP(H138,References!$B$7:$F$249,5,FALSE)</f>
        <v>7</v>
      </c>
    </row>
    <row r="139" spans="1:11" ht="16" x14ac:dyDescent="0.2">
      <c r="A139" s="838" t="s">
        <v>134</v>
      </c>
      <c r="B139" s="869" t="s">
        <v>135</v>
      </c>
      <c r="C139" s="149" t="s">
        <v>657</v>
      </c>
      <c r="D139" s="632" t="s">
        <v>825</v>
      </c>
      <c r="E139" s="58" t="s">
        <v>667</v>
      </c>
      <c r="F139" s="617" t="s">
        <v>668</v>
      </c>
      <c r="G139" s="617" t="s">
        <v>669</v>
      </c>
      <c r="H139" s="622" t="s">
        <v>675</v>
      </c>
      <c r="I139" s="100">
        <f>VLOOKUP(H139,References!$B$7:$F$249,5,FALSE)</f>
        <v>97</v>
      </c>
    </row>
    <row r="140" spans="1:11" ht="17" thickBot="1" x14ac:dyDescent="0.25">
      <c r="A140" s="852"/>
      <c r="B140" s="881"/>
      <c r="C140" s="188" t="s">
        <v>671</v>
      </c>
      <c r="D140" s="209" t="s">
        <v>826</v>
      </c>
      <c r="E140" s="138" t="s">
        <v>677</v>
      </c>
      <c r="F140" s="633" t="s">
        <v>668</v>
      </c>
      <c r="G140" s="633" t="s">
        <v>664</v>
      </c>
      <c r="H140" s="634" t="s">
        <v>678</v>
      </c>
      <c r="I140" s="101">
        <f>VLOOKUP(H140,References!$B$7:$F$249,5,FALSE)</f>
        <v>7</v>
      </c>
    </row>
    <row r="141" spans="1:11" ht="17" thickBot="1" x14ac:dyDescent="0.25">
      <c r="A141" s="130" t="s">
        <v>141</v>
      </c>
      <c r="B141" s="175" t="s">
        <v>142</v>
      </c>
      <c r="C141" s="635"/>
      <c r="D141" s="636"/>
      <c r="E141" s="256"/>
      <c r="F141" s="636"/>
      <c r="G141" s="636"/>
      <c r="H141" s="636"/>
      <c r="I141" s="637"/>
    </row>
    <row r="142" spans="1:11" customFormat="1" ht="16" x14ac:dyDescent="0.2">
      <c r="A142" s="595" t="s">
        <v>143</v>
      </c>
      <c r="B142" s="296" t="s">
        <v>144</v>
      </c>
      <c r="C142" s="466"/>
      <c r="D142" s="422"/>
      <c r="E142" s="596"/>
      <c r="F142" s="423"/>
      <c r="G142" s="596"/>
      <c r="H142" s="423"/>
      <c r="I142" s="428"/>
      <c r="J142" s="194"/>
      <c r="K142" s="194"/>
    </row>
    <row r="143" spans="1:11" customFormat="1" ht="16" x14ac:dyDescent="0.2">
      <c r="A143" s="143" t="s">
        <v>151</v>
      </c>
      <c r="B143" s="131" t="s">
        <v>152</v>
      </c>
      <c r="C143" s="153"/>
      <c r="D143" s="142"/>
      <c r="E143" s="525"/>
      <c r="F143" s="424"/>
      <c r="G143" s="525"/>
      <c r="H143" s="424"/>
      <c r="I143" s="429"/>
      <c r="J143" s="194"/>
      <c r="K143" s="194"/>
    </row>
    <row r="144" spans="1:11" customFormat="1" ht="17" thickBot="1" x14ac:dyDescent="0.25">
      <c r="A144" s="143" t="s">
        <v>157</v>
      </c>
      <c r="B144" s="131" t="s">
        <v>158</v>
      </c>
      <c r="C144" s="153"/>
      <c r="D144" s="142"/>
      <c r="E144" s="525"/>
      <c r="F144" s="424"/>
      <c r="G144" s="525"/>
      <c r="H144" s="424"/>
      <c r="I144" s="429"/>
      <c r="J144" s="194"/>
      <c r="K144" s="194"/>
    </row>
    <row r="145" spans="1:9" ht="16" x14ac:dyDescent="0.2">
      <c r="A145" s="865" t="s">
        <v>163</v>
      </c>
      <c r="B145" s="896" t="s">
        <v>164</v>
      </c>
      <c r="C145" s="155" t="s">
        <v>657</v>
      </c>
      <c r="D145" s="638" t="s">
        <v>827</v>
      </c>
      <c r="E145" s="135" t="s">
        <v>667</v>
      </c>
      <c r="F145" s="613" t="s">
        <v>668</v>
      </c>
      <c r="G145" s="613" t="s">
        <v>682</v>
      </c>
      <c r="H145" s="639" t="s">
        <v>710</v>
      </c>
      <c r="I145" s="99">
        <f>VLOOKUP(H145,References!$B$7:$F$249,5,FALSE)</f>
        <v>35</v>
      </c>
    </row>
    <row r="146" spans="1:9" ht="16" x14ac:dyDescent="0.2">
      <c r="A146" s="838"/>
      <c r="B146" s="869"/>
      <c r="C146" s="149" t="s">
        <v>657</v>
      </c>
      <c r="D146" s="623" t="s">
        <v>828</v>
      </c>
      <c r="E146" s="58" t="s">
        <v>667</v>
      </c>
      <c r="F146" s="617" t="s">
        <v>663</v>
      </c>
      <c r="G146" s="617" t="s">
        <v>682</v>
      </c>
      <c r="H146" s="622" t="s">
        <v>683</v>
      </c>
      <c r="I146" s="100">
        <f>VLOOKUP(H146,References!$B$7:$F$249,5,FALSE)</f>
        <v>151</v>
      </c>
    </row>
    <row r="147" spans="1:9" ht="16" x14ac:dyDescent="0.2">
      <c r="A147" s="838"/>
      <c r="B147" s="869"/>
      <c r="C147" s="149" t="s">
        <v>657</v>
      </c>
      <c r="D147" s="623" t="s">
        <v>829</v>
      </c>
      <c r="E147" s="58" t="s">
        <v>667</v>
      </c>
      <c r="F147" s="617" t="s">
        <v>668</v>
      </c>
      <c r="G147" s="617" t="s">
        <v>669</v>
      </c>
      <c r="H147" s="622" t="s">
        <v>670</v>
      </c>
      <c r="I147" s="100">
        <f>VLOOKUP(H147,References!$B$7:$F$249,5,FALSE)</f>
        <v>43</v>
      </c>
    </row>
    <row r="148" spans="1:9" ht="16" x14ac:dyDescent="0.2">
      <c r="A148" s="838"/>
      <c r="B148" s="869"/>
      <c r="C148" s="149" t="s">
        <v>657</v>
      </c>
      <c r="D148" s="87" t="s">
        <v>830</v>
      </c>
      <c r="E148" s="58" t="s">
        <v>662</v>
      </c>
      <c r="F148" s="617" t="s">
        <v>696</v>
      </c>
      <c r="G148" s="617" t="s">
        <v>664</v>
      </c>
      <c r="H148" s="622" t="s">
        <v>697</v>
      </c>
      <c r="I148" s="100">
        <f>VLOOKUP(H148,References!$B$7:$F$249,5,FALSE)</f>
        <v>21</v>
      </c>
    </row>
    <row r="149" spans="1:9" ht="16" x14ac:dyDescent="0.2">
      <c r="A149" s="838"/>
      <c r="B149" s="869"/>
      <c r="C149" s="149" t="s">
        <v>657</v>
      </c>
      <c r="D149" s="623" t="s">
        <v>831</v>
      </c>
      <c r="E149" s="58" t="s">
        <v>667</v>
      </c>
      <c r="F149" s="617" t="s">
        <v>668</v>
      </c>
      <c r="G149" s="617" t="s">
        <v>682</v>
      </c>
      <c r="H149" s="622" t="s">
        <v>751</v>
      </c>
      <c r="I149" s="100">
        <f>VLOOKUP(H149,References!$B$7:$F$249,5,FALSE)</f>
        <v>87</v>
      </c>
    </row>
    <row r="150" spans="1:9" ht="16" x14ac:dyDescent="0.2">
      <c r="A150" s="838"/>
      <c r="B150" s="869"/>
      <c r="C150" s="149" t="s">
        <v>671</v>
      </c>
      <c r="D150" s="87" t="s">
        <v>832</v>
      </c>
      <c r="E150" s="58" t="s">
        <v>662</v>
      </c>
      <c r="F150" s="617" t="s">
        <v>663</v>
      </c>
      <c r="G150" s="617" t="s">
        <v>664</v>
      </c>
      <c r="H150" s="622" t="s">
        <v>673</v>
      </c>
      <c r="I150" s="100">
        <f>VLOOKUP(H150,References!$B$7:$F$249,5,FALSE)</f>
        <v>91</v>
      </c>
    </row>
    <row r="151" spans="1:9" ht="16" x14ac:dyDescent="0.2">
      <c r="A151" s="838"/>
      <c r="B151" s="869"/>
      <c r="C151" s="149" t="s">
        <v>657</v>
      </c>
      <c r="D151" s="623" t="s">
        <v>833</v>
      </c>
      <c r="E151" s="58" t="s">
        <v>667</v>
      </c>
      <c r="F151" s="617" t="s">
        <v>668</v>
      </c>
      <c r="G151" s="617" t="s">
        <v>669</v>
      </c>
      <c r="H151" s="622" t="s">
        <v>675</v>
      </c>
      <c r="I151" s="100">
        <f>VLOOKUP(H151,References!$B$7:$F$249,5,FALSE)</f>
        <v>97</v>
      </c>
    </row>
    <row r="152" spans="1:9" ht="16" x14ac:dyDescent="0.2">
      <c r="A152" s="838"/>
      <c r="B152" s="869"/>
      <c r="C152" s="149" t="s">
        <v>671</v>
      </c>
      <c r="D152" s="87" t="s">
        <v>834</v>
      </c>
      <c r="E152" s="58" t="s">
        <v>677</v>
      </c>
      <c r="F152" s="617" t="s">
        <v>668</v>
      </c>
      <c r="G152" s="617" t="s">
        <v>664</v>
      </c>
      <c r="H152" s="622" t="s">
        <v>678</v>
      </c>
      <c r="I152" s="100">
        <f>VLOOKUP(H152,References!$B$7:$F$249,5,FALSE)</f>
        <v>7</v>
      </c>
    </row>
    <row r="153" spans="1:9" ht="16" x14ac:dyDescent="0.2">
      <c r="A153" s="838"/>
      <c r="B153" s="869"/>
      <c r="C153" s="149" t="s">
        <v>657</v>
      </c>
      <c r="D153" s="87" t="s">
        <v>835</v>
      </c>
      <c r="E153" s="58" t="s">
        <v>662</v>
      </c>
      <c r="F153" s="617" t="s">
        <v>663</v>
      </c>
      <c r="G153" s="617" t="s">
        <v>664</v>
      </c>
      <c r="H153" s="622" t="s">
        <v>680</v>
      </c>
      <c r="I153" s="100">
        <f>VLOOKUP(H153,References!$B$7:$F$249,5,FALSE)</f>
        <v>92</v>
      </c>
    </row>
    <row r="154" spans="1:9" ht="16" x14ac:dyDescent="0.2">
      <c r="A154" s="191" t="s">
        <v>170</v>
      </c>
      <c r="B154" s="152" t="s">
        <v>171</v>
      </c>
      <c r="C154" s="152"/>
      <c r="D154" s="199"/>
      <c r="E154" s="260"/>
      <c r="F154" s="640"/>
      <c r="G154" s="640"/>
      <c r="H154" s="640"/>
      <c r="I154" s="124"/>
    </row>
    <row r="155" spans="1:9" ht="16" x14ac:dyDescent="0.2">
      <c r="A155" s="838" t="s">
        <v>176</v>
      </c>
      <c r="B155" s="869" t="s">
        <v>177</v>
      </c>
      <c r="C155" s="149" t="s">
        <v>657</v>
      </c>
      <c r="D155" s="87" t="s">
        <v>836</v>
      </c>
      <c r="E155" s="58" t="s">
        <v>662</v>
      </c>
      <c r="F155" s="617" t="s">
        <v>696</v>
      </c>
      <c r="G155" s="617" t="s">
        <v>664</v>
      </c>
      <c r="H155" s="622" t="s">
        <v>712</v>
      </c>
      <c r="I155" s="100">
        <f>VLOOKUP(H155,References!$B$7:$F$249,5,FALSE)</f>
        <v>5</v>
      </c>
    </row>
    <row r="156" spans="1:9" ht="16" x14ac:dyDescent="0.2">
      <c r="A156" s="838"/>
      <c r="B156" s="869"/>
      <c r="C156" s="149" t="s">
        <v>657</v>
      </c>
      <c r="D156" s="87" t="s">
        <v>837</v>
      </c>
      <c r="E156" s="392" t="s">
        <v>662</v>
      </c>
      <c r="F156" s="617" t="s">
        <v>663</v>
      </c>
      <c r="G156" s="617" t="s">
        <v>664</v>
      </c>
      <c r="H156" s="622" t="s">
        <v>692</v>
      </c>
      <c r="I156" s="100">
        <f>VLOOKUP(H156,References!$B$7:$F$249,5,FALSE)</f>
        <v>69</v>
      </c>
    </row>
    <row r="157" spans="1:9" ht="32" x14ac:dyDescent="0.2">
      <c r="A157" s="838"/>
      <c r="B157" s="869"/>
      <c r="C157" s="149" t="s">
        <v>657</v>
      </c>
      <c r="D157" s="87" t="s">
        <v>838</v>
      </c>
      <c r="E157" s="58" t="s">
        <v>667</v>
      </c>
      <c r="F157" s="617" t="s">
        <v>663</v>
      </c>
      <c r="G157" s="617" t="s">
        <v>682</v>
      </c>
      <c r="H157" s="622" t="s">
        <v>683</v>
      </c>
      <c r="I157" s="100">
        <f>VLOOKUP(H157,References!$B$7:$F$249,5,FALSE)</f>
        <v>151</v>
      </c>
    </row>
    <row r="158" spans="1:9" ht="16" x14ac:dyDescent="0.2">
      <c r="A158" s="838"/>
      <c r="B158" s="869"/>
      <c r="C158" s="149" t="s">
        <v>657</v>
      </c>
      <c r="D158" s="87" t="s">
        <v>839</v>
      </c>
      <c r="E158" s="392" t="s">
        <v>662</v>
      </c>
      <c r="F158" s="617" t="s">
        <v>663</v>
      </c>
      <c r="G158" s="617" t="s">
        <v>664</v>
      </c>
      <c r="H158" s="622" t="s">
        <v>739</v>
      </c>
      <c r="I158" s="100">
        <f>VLOOKUP(H158,References!$B$7:$F$249,5,FALSE)</f>
        <v>93</v>
      </c>
    </row>
    <row r="159" spans="1:9" ht="16" x14ac:dyDescent="0.2">
      <c r="A159" s="838"/>
      <c r="B159" s="869"/>
      <c r="C159" s="149" t="s">
        <v>657</v>
      </c>
      <c r="D159" s="87" t="s">
        <v>840</v>
      </c>
      <c r="E159" s="58" t="s">
        <v>667</v>
      </c>
      <c r="F159" s="617" t="s">
        <v>668</v>
      </c>
      <c r="G159" s="617" t="s">
        <v>669</v>
      </c>
      <c r="H159" s="622" t="s">
        <v>670</v>
      </c>
      <c r="I159" s="100">
        <f>VLOOKUP(H159,References!$B$7:$F$249,5,FALSE)</f>
        <v>43</v>
      </c>
    </row>
    <row r="160" spans="1:9" ht="16" x14ac:dyDescent="0.2">
      <c r="A160" s="838"/>
      <c r="B160" s="869"/>
      <c r="C160" s="149" t="s">
        <v>657</v>
      </c>
      <c r="D160" s="87" t="s">
        <v>841</v>
      </c>
      <c r="E160" s="58" t="s">
        <v>662</v>
      </c>
      <c r="F160" s="617" t="s">
        <v>696</v>
      </c>
      <c r="G160" s="617" t="s">
        <v>664</v>
      </c>
      <c r="H160" s="622" t="s">
        <v>697</v>
      </c>
      <c r="I160" s="100">
        <f>VLOOKUP(H160,References!$B$7:$F$249,5,FALSE)</f>
        <v>21</v>
      </c>
    </row>
    <row r="161" spans="1:12" ht="16" x14ac:dyDescent="0.2">
      <c r="A161" s="838"/>
      <c r="B161" s="869"/>
      <c r="C161" s="149" t="s">
        <v>657</v>
      </c>
      <c r="D161" s="87" t="s">
        <v>842</v>
      </c>
      <c r="E161" s="392" t="s">
        <v>662</v>
      </c>
      <c r="F161" s="617" t="s">
        <v>663</v>
      </c>
      <c r="G161" s="617" t="s">
        <v>664</v>
      </c>
      <c r="H161" s="622" t="s">
        <v>719</v>
      </c>
      <c r="I161" s="100">
        <f>VLOOKUP(H161,References!$B$7:$F$249,5,FALSE)</f>
        <v>89</v>
      </c>
    </row>
    <row r="162" spans="1:12" ht="16" x14ac:dyDescent="0.2">
      <c r="A162" s="838"/>
      <c r="B162" s="869"/>
      <c r="C162" s="149" t="s">
        <v>657</v>
      </c>
      <c r="D162" s="87" t="s">
        <v>843</v>
      </c>
      <c r="E162" s="392" t="s">
        <v>662</v>
      </c>
      <c r="F162" s="617" t="s">
        <v>663</v>
      </c>
      <c r="G162" s="617" t="s">
        <v>664</v>
      </c>
      <c r="H162" s="622" t="s">
        <v>754</v>
      </c>
      <c r="I162" s="100">
        <f>VLOOKUP(H162,References!$B$7:$F$249,5,FALSE)</f>
        <v>94</v>
      </c>
    </row>
    <row r="163" spans="1:12" ht="16" x14ac:dyDescent="0.2">
      <c r="A163" s="838"/>
      <c r="B163" s="869"/>
      <c r="C163" s="149" t="s">
        <v>657</v>
      </c>
      <c r="D163" s="87" t="s">
        <v>844</v>
      </c>
      <c r="E163" s="392" t="s">
        <v>662</v>
      </c>
      <c r="F163" s="617" t="s">
        <v>663</v>
      </c>
      <c r="G163" s="617" t="s">
        <v>664</v>
      </c>
      <c r="H163" s="622" t="s">
        <v>699</v>
      </c>
      <c r="I163" s="100">
        <f>VLOOKUP(H163,References!$B$7:$F$249,5,FALSE)</f>
        <v>27</v>
      </c>
    </row>
    <row r="164" spans="1:12" ht="16" x14ac:dyDescent="0.2">
      <c r="A164" s="838"/>
      <c r="B164" s="869"/>
      <c r="C164" s="149" t="s">
        <v>671</v>
      </c>
      <c r="D164" s="87" t="s">
        <v>845</v>
      </c>
      <c r="E164" s="392" t="s">
        <v>662</v>
      </c>
      <c r="F164" s="617" t="s">
        <v>663</v>
      </c>
      <c r="G164" s="617" t="s">
        <v>664</v>
      </c>
      <c r="H164" s="622" t="s">
        <v>673</v>
      </c>
      <c r="I164" s="100">
        <f>VLOOKUP(H164,References!$B$7:$F$249,5,FALSE)</f>
        <v>91</v>
      </c>
    </row>
    <row r="165" spans="1:12" ht="16" x14ac:dyDescent="0.2">
      <c r="A165" s="838"/>
      <c r="B165" s="869"/>
      <c r="C165" s="149" t="s">
        <v>671</v>
      </c>
      <c r="D165" s="87" t="s">
        <v>846</v>
      </c>
      <c r="E165" s="58" t="s">
        <v>662</v>
      </c>
      <c r="F165" s="617" t="s">
        <v>668</v>
      </c>
      <c r="G165" s="617" t="s">
        <v>664</v>
      </c>
      <c r="H165" s="622" t="s">
        <v>688</v>
      </c>
      <c r="I165" s="100">
        <f>VLOOKUP(H165,References!$B$7:$F$249,5,FALSE)</f>
        <v>130</v>
      </c>
    </row>
    <row r="166" spans="1:12" ht="16" x14ac:dyDescent="0.2">
      <c r="A166" s="838"/>
      <c r="B166" s="869"/>
      <c r="C166" s="149" t="s">
        <v>657</v>
      </c>
      <c r="D166" s="87" t="s">
        <v>847</v>
      </c>
      <c r="E166" s="58" t="s">
        <v>667</v>
      </c>
      <c r="F166" s="617" t="s">
        <v>668</v>
      </c>
      <c r="G166" s="617" t="s">
        <v>669</v>
      </c>
      <c r="H166" s="622" t="s">
        <v>675</v>
      </c>
      <c r="I166" s="100">
        <f>VLOOKUP(H166,References!$B$7:$F$249,5,FALSE)</f>
        <v>97</v>
      </c>
    </row>
    <row r="167" spans="1:12" ht="16" x14ac:dyDescent="0.2">
      <c r="A167" s="838"/>
      <c r="B167" s="869"/>
      <c r="C167" s="149" t="s">
        <v>671</v>
      </c>
      <c r="D167" s="87" t="s">
        <v>848</v>
      </c>
      <c r="E167" s="58" t="s">
        <v>677</v>
      </c>
      <c r="F167" s="617" t="s">
        <v>668</v>
      </c>
      <c r="G167" s="617" t="s">
        <v>664</v>
      </c>
      <c r="H167" s="622" t="s">
        <v>678</v>
      </c>
      <c r="I167" s="100">
        <f>VLOOKUP(H167,References!$B$7:$F$249,5,FALSE)</f>
        <v>7</v>
      </c>
    </row>
    <row r="168" spans="1:12" s="44" customFormat="1" ht="16" x14ac:dyDescent="0.2">
      <c r="A168" s="838"/>
      <c r="B168" s="869"/>
      <c r="C168" s="149" t="s">
        <v>657</v>
      </c>
      <c r="D168" s="87" t="s">
        <v>849</v>
      </c>
      <c r="E168" s="392" t="s">
        <v>662</v>
      </c>
      <c r="F168" s="617" t="s">
        <v>663</v>
      </c>
      <c r="G168" s="617" t="s">
        <v>664</v>
      </c>
      <c r="H168" s="617" t="s">
        <v>680</v>
      </c>
      <c r="I168" s="100">
        <f>VLOOKUP(H168,References!$B$7:$F$249,5,FALSE)</f>
        <v>92</v>
      </c>
      <c r="J168" s="6"/>
      <c r="K168" s="6"/>
      <c r="L168" s="6"/>
    </row>
    <row r="169" spans="1:12" s="44" customFormat="1" ht="16" x14ac:dyDescent="0.2">
      <c r="A169" s="838"/>
      <c r="B169" s="869"/>
      <c r="C169" s="149" t="s">
        <v>657</v>
      </c>
      <c r="D169" s="87" t="s">
        <v>850</v>
      </c>
      <c r="E169" s="392" t="s">
        <v>662</v>
      </c>
      <c r="F169" s="617" t="s">
        <v>663</v>
      </c>
      <c r="G169" s="617" t="s">
        <v>664</v>
      </c>
      <c r="H169" s="622" t="s">
        <v>724</v>
      </c>
      <c r="I169" s="100">
        <f>VLOOKUP(H169,References!$B$7:$F$249,5,FALSE)</f>
        <v>90</v>
      </c>
      <c r="J169" s="6"/>
      <c r="K169" s="6"/>
      <c r="L169" s="6"/>
    </row>
    <row r="170" spans="1:12" s="44" customFormat="1" ht="16" x14ac:dyDescent="0.2">
      <c r="A170" s="838"/>
      <c r="B170" s="869"/>
      <c r="C170" s="182" t="s">
        <v>657</v>
      </c>
      <c r="D170" s="624" t="s">
        <v>851</v>
      </c>
      <c r="E170" s="625" t="s">
        <v>27</v>
      </c>
      <c r="F170" s="620" t="s">
        <v>33</v>
      </c>
      <c r="G170" s="620" t="s">
        <v>33</v>
      </c>
      <c r="H170" s="620" t="s">
        <v>707</v>
      </c>
      <c r="I170" s="122">
        <f>VLOOKUP(H170,References!$B$7:$F$249,5,FALSE)</f>
        <v>3</v>
      </c>
      <c r="J170" s="6"/>
      <c r="K170" s="6"/>
      <c r="L170" s="6"/>
    </row>
    <row r="171" spans="1:12" ht="16" x14ac:dyDescent="0.2">
      <c r="A171" s="839" t="s">
        <v>182</v>
      </c>
      <c r="B171" s="850" t="s">
        <v>183</v>
      </c>
      <c r="C171" s="149" t="s">
        <v>657</v>
      </c>
      <c r="D171" s="87" t="s">
        <v>852</v>
      </c>
      <c r="E171" s="258" t="s">
        <v>662</v>
      </c>
      <c r="F171" s="617" t="s">
        <v>663</v>
      </c>
      <c r="G171" s="617" t="s">
        <v>664</v>
      </c>
      <c r="H171" s="622" t="s">
        <v>692</v>
      </c>
      <c r="I171" s="100">
        <f>VLOOKUP(H171,References!$B$7:$F$249,5,FALSE)</f>
        <v>69</v>
      </c>
    </row>
    <row r="172" spans="1:12" ht="16" x14ac:dyDescent="0.2">
      <c r="A172" s="838"/>
      <c r="B172" s="869"/>
      <c r="C172" s="149" t="s">
        <v>657</v>
      </c>
      <c r="D172" s="87" t="s">
        <v>853</v>
      </c>
      <c r="E172" s="258" t="s">
        <v>662</v>
      </c>
      <c r="F172" s="617" t="s">
        <v>663</v>
      </c>
      <c r="G172" s="617" t="s">
        <v>664</v>
      </c>
      <c r="H172" s="622" t="s">
        <v>719</v>
      </c>
      <c r="I172" s="100">
        <f>VLOOKUP(H172,References!$B$7:$F$249,5,FALSE)</f>
        <v>89</v>
      </c>
    </row>
    <row r="173" spans="1:12" ht="16" x14ac:dyDescent="0.2">
      <c r="A173" s="838"/>
      <c r="B173" s="869"/>
      <c r="C173" s="149" t="s">
        <v>671</v>
      </c>
      <c r="D173" s="87" t="s">
        <v>854</v>
      </c>
      <c r="E173" s="258" t="s">
        <v>662</v>
      </c>
      <c r="F173" s="617" t="s">
        <v>663</v>
      </c>
      <c r="G173" s="617" t="s">
        <v>664</v>
      </c>
      <c r="H173" s="622" t="s">
        <v>673</v>
      </c>
      <c r="I173" s="100">
        <f>VLOOKUP(H173,References!$B$7:$F$249,5,FALSE)</f>
        <v>91</v>
      </c>
    </row>
    <row r="174" spans="1:12" ht="16" x14ac:dyDescent="0.2">
      <c r="A174" s="840"/>
      <c r="B174" s="851"/>
      <c r="C174" s="182" t="s">
        <v>657</v>
      </c>
      <c r="D174" s="624" t="s">
        <v>855</v>
      </c>
      <c r="E174" s="259" t="s">
        <v>662</v>
      </c>
      <c r="F174" s="620" t="s">
        <v>663</v>
      </c>
      <c r="G174" s="620" t="s">
        <v>664</v>
      </c>
      <c r="H174" s="626" t="s">
        <v>724</v>
      </c>
      <c r="I174" s="122">
        <f>VLOOKUP(H174,References!$B$7:$F$249,5,FALSE)</f>
        <v>90</v>
      </c>
    </row>
    <row r="175" spans="1:12" ht="16" x14ac:dyDescent="0.2">
      <c r="A175" s="830" t="s">
        <v>188</v>
      </c>
      <c r="B175" s="869" t="s">
        <v>189</v>
      </c>
      <c r="C175" s="149" t="s">
        <v>657</v>
      </c>
      <c r="D175" s="87" t="s">
        <v>856</v>
      </c>
      <c r="E175" s="58" t="s">
        <v>667</v>
      </c>
      <c r="F175" s="617" t="s">
        <v>663</v>
      </c>
      <c r="G175" s="617" t="s">
        <v>669</v>
      </c>
      <c r="H175" s="622" t="s">
        <v>729</v>
      </c>
      <c r="I175" s="100">
        <f>VLOOKUP(H175,References!$B$7:$F$249,5,FALSE)</f>
        <v>49</v>
      </c>
    </row>
    <row r="176" spans="1:12" ht="16" x14ac:dyDescent="0.2">
      <c r="A176" s="830"/>
      <c r="B176" s="869"/>
      <c r="C176" s="149" t="s">
        <v>657</v>
      </c>
      <c r="D176" s="87" t="s">
        <v>857</v>
      </c>
      <c r="E176" s="58" t="s">
        <v>667</v>
      </c>
      <c r="F176" s="617" t="s">
        <v>858</v>
      </c>
      <c r="G176" s="617" t="s">
        <v>682</v>
      </c>
      <c r="H176" s="622" t="s">
        <v>859</v>
      </c>
      <c r="I176" s="100">
        <f>VLOOKUP(H176,References!$B$7:$F$249,5,FALSE)</f>
        <v>54</v>
      </c>
    </row>
    <row r="177" spans="1:9" ht="16" x14ac:dyDescent="0.2">
      <c r="A177" s="830"/>
      <c r="B177" s="869"/>
      <c r="C177" s="149" t="s">
        <v>657</v>
      </c>
      <c r="D177" s="87" t="s">
        <v>860</v>
      </c>
      <c r="E177" s="58" t="s">
        <v>667</v>
      </c>
      <c r="F177" s="617" t="s">
        <v>861</v>
      </c>
      <c r="G177" s="617" t="s">
        <v>682</v>
      </c>
      <c r="H177" s="622" t="s">
        <v>862</v>
      </c>
      <c r="I177" s="100">
        <f>VLOOKUP(H177,References!$B$7:$F$249,5,FALSE)</f>
        <v>19</v>
      </c>
    </row>
    <row r="178" spans="1:9" ht="16" x14ac:dyDescent="0.2">
      <c r="A178" s="830"/>
      <c r="B178" s="869"/>
      <c r="C178" s="149" t="s">
        <v>657</v>
      </c>
      <c r="D178" s="87" t="s">
        <v>863</v>
      </c>
      <c r="E178" s="58" t="s">
        <v>667</v>
      </c>
      <c r="F178" s="617" t="s">
        <v>668</v>
      </c>
      <c r="G178" s="617" t="s">
        <v>682</v>
      </c>
      <c r="H178" s="622" t="s">
        <v>710</v>
      </c>
      <c r="I178" s="100">
        <f>VLOOKUP(H178,References!$B$7:$F$249,5,FALSE)</f>
        <v>35</v>
      </c>
    </row>
    <row r="179" spans="1:9" ht="16" x14ac:dyDescent="0.2">
      <c r="A179" s="830"/>
      <c r="B179" s="869"/>
      <c r="C179" s="149" t="s">
        <v>657</v>
      </c>
      <c r="D179" s="87" t="s">
        <v>864</v>
      </c>
      <c r="E179" s="58" t="s">
        <v>662</v>
      </c>
      <c r="F179" s="617" t="s">
        <v>663</v>
      </c>
      <c r="G179" s="617" t="s">
        <v>664</v>
      </c>
      <c r="H179" s="622" t="s">
        <v>733</v>
      </c>
      <c r="I179" s="100">
        <f>VLOOKUP(H179,References!$B$7:$F$249,5,FALSE)</f>
        <v>67</v>
      </c>
    </row>
    <row r="180" spans="1:9" ht="16" x14ac:dyDescent="0.2">
      <c r="A180" s="830"/>
      <c r="B180" s="869"/>
      <c r="C180" s="149" t="s">
        <v>657</v>
      </c>
      <c r="D180" s="87" t="s">
        <v>865</v>
      </c>
      <c r="E180" s="58" t="s">
        <v>662</v>
      </c>
      <c r="F180" s="617" t="s">
        <v>696</v>
      </c>
      <c r="G180" s="617" t="s">
        <v>664</v>
      </c>
      <c r="H180" s="622" t="s">
        <v>712</v>
      </c>
      <c r="I180" s="100">
        <f>VLOOKUP(H180,References!$B$7:$F$249,5,FALSE)</f>
        <v>5</v>
      </c>
    </row>
    <row r="181" spans="1:9" ht="16" x14ac:dyDescent="0.2">
      <c r="A181" s="830"/>
      <c r="B181" s="869"/>
      <c r="C181" s="149" t="s">
        <v>657</v>
      </c>
      <c r="D181" s="87" t="s">
        <v>866</v>
      </c>
      <c r="E181" s="58" t="s">
        <v>667</v>
      </c>
      <c r="F181" s="617" t="s">
        <v>663</v>
      </c>
      <c r="G181" s="617" t="s">
        <v>682</v>
      </c>
      <c r="H181" s="622" t="s">
        <v>735</v>
      </c>
      <c r="I181" s="100">
        <f>VLOOKUP(H181,References!$B$7:$F$249,5,FALSE)</f>
        <v>6</v>
      </c>
    </row>
    <row r="182" spans="1:9" ht="16" x14ac:dyDescent="0.2">
      <c r="A182" s="830"/>
      <c r="B182" s="869"/>
      <c r="C182" s="149" t="s">
        <v>671</v>
      </c>
      <c r="D182" s="87" t="s">
        <v>867</v>
      </c>
      <c r="E182" s="392" t="s">
        <v>662</v>
      </c>
      <c r="F182" s="617" t="s">
        <v>663</v>
      </c>
      <c r="G182" s="617" t="s">
        <v>664</v>
      </c>
      <c r="H182" s="622" t="s">
        <v>692</v>
      </c>
      <c r="I182" s="100">
        <f>VLOOKUP(H182,References!$B$7:$F$249,5,FALSE)</f>
        <v>69</v>
      </c>
    </row>
    <row r="183" spans="1:9" ht="16" x14ac:dyDescent="0.2">
      <c r="A183" s="830"/>
      <c r="B183" s="869"/>
      <c r="C183" s="149" t="s">
        <v>657</v>
      </c>
      <c r="D183" s="87" t="s">
        <v>720</v>
      </c>
      <c r="E183" s="392" t="s">
        <v>662</v>
      </c>
      <c r="F183" s="617" t="s">
        <v>663</v>
      </c>
      <c r="G183" s="617" t="s">
        <v>664</v>
      </c>
      <c r="H183" s="622" t="s">
        <v>739</v>
      </c>
      <c r="I183" s="100">
        <f>VLOOKUP(H183,References!$B$7:$F$249,5,FALSE)</f>
        <v>93</v>
      </c>
    </row>
    <row r="184" spans="1:9" ht="16" x14ac:dyDescent="0.2">
      <c r="A184" s="830"/>
      <c r="B184" s="869"/>
      <c r="C184" s="149" t="s">
        <v>657</v>
      </c>
      <c r="D184" s="87" t="s">
        <v>868</v>
      </c>
      <c r="E184" s="392" t="s">
        <v>662</v>
      </c>
      <c r="F184" s="617" t="s">
        <v>663</v>
      </c>
      <c r="G184" s="617" t="s">
        <v>664</v>
      </c>
      <c r="H184" s="622" t="s">
        <v>665</v>
      </c>
      <c r="I184" s="100">
        <f>VLOOKUP(H184,References!$B$7:$F$249,5,FALSE)</f>
        <v>144</v>
      </c>
    </row>
    <row r="185" spans="1:9" ht="16" x14ac:dyDescent="0.2">
      <c r="A185" s="830"/>
      <c r="B185" s="869"/>
      <c r="C185" s="149" t="s">
        <v>657</v>
      </c>
      <c r="D185" s="87" t="s">
        <v>869</v>
      </c>
      <c r="E185" s="58" t="s">
        <v>667</v>
      </c>
      <c r="F185" s="617" t="s">
        <v>663</v>
      </c>
      <c r="G185" s="617" t="s">
        <v>682</v>
      </c>
      <c r="H185" s="622" t="s">
        <v>683</v>
      </c>
      <c r="I185" s="100">
        <f>VLOOKUP(H185,References!$B$7:$F$249,5,FALSE)</f>
        <v>151</v>
      </c>
    </row>
    <row r="186" spans="1:9" ht="16" x14ac:dyDescent="0.2">
      <c r="A186" s="830"/>
      <c r="B186" s="869"/>
      <c r="C186" s="149" t="s">
        <v>657</v>
      </c>
      <c r="D186" s="87" t="s">
        <v>870</v>
      </c>
      <c r="E186" s="58" t="s">
        <v>667</v>
      </c>
      <c r="F186" s="617" t="s">
        <v>668</v>
      </c>
      <c r="G186" s="617" t="s">
        <v>669</v>
      </c>
      <c r="H186" s="622" t="s">
        <v>670</v>
      </c>
      <c r="I186" s="100">
        <f>VLOOKUP(H186,References!$B$7:$F$249,5,FALSE)</f>
        <v>43</v>
      </c>
    </row>
    <row r="187" spans="1:9" ht="16" x14ac:dyDescent="0.2">
      <c r="A187" s="830"/>
      <c r="B187" s="869"/>
      <c r="C187" s="149" t="s">
        <v>657</v>
      </c>
      <c r="D187" s="87" t="s">
        <v>871</v>
      </c>
      <c r="E187" s="58" t="s">
        <v>667</v>
      </c>
      <c r="F187" s="617" t="s">
        <v>663</v>
      </c>
      <c r="G187" s="617" t="s">
        <v>664</v>
      </c>
      <c r="H187" s="622" t="s">
        <v>741</v>
      </c>
      <c r="I187" s="100">
        <f>VLOOKUP(H187,References!$B$7:$F$249,5,FALSE)</f>
        <v>20</v>
      </c>
    </row>
    <row r="188" spans="1:9" ht="16" x14ac:dyDescent="0.2">
      <c r="A188" s="830"/>
      <c r="B188" s="869"/>
      <c r="C188" s="149" t="s">
        <v>743</v>
      </c>
      <c r="D188" s="87" t="s">
        <v>872</v>
      </c>
      <c r="E188" s="58" t="s">
        <v>662</v>
      </c>
      <c r="F188" s="617" t="s">
        <v>663</v>
      </c>
      <c r="G188" s="617" t="s">
        <v>664</v>
      </c>
      <c r="H188" s="622" t="s">
        <v>697</v>
      </c>
      <c r="I188" s="100">
        <f>VLOOKUP(H188,References!$B$7:$F$249,5,FALSE)</f>
        <v>21</v>
      </c>
    </row>
    <row r="189" spans="1:9" ht="16" x14ac:dyDescent="0.2">
      <c r="A189" s="830"/>
      <c r="B189" s="869"/>
      <c r="C189" s="149" t="s">
        <v>743</v>
      </c>
      <c r="D189" s="87" t="s">
        <v>873</v>
      </c>
      <c r="E189" s="58" t="s">
        <v>662</v>
      </c>
      <c r="F189" s="617" t="s">
        <v>746</v>
      </c>
      <c r="G189" s="617" t="s">
        <v>664</v>
      </c>
      <c r="H189" s="622" t="s">
        <v>697</v>
      </c>
      <c r="I189" s="100">
        <f>VLOOKUP(H189,References!$B$7:$F$249,5,FALSE)</f>
        <v>21</v>
      </c>
    </row>
    <row r="190" spans="1:9" ht="16" x14ac:dyDescent="0.2">
      <c r="A190" s="830"/>
      <c r="B190" s="869"/>
      <c r="C190" s="149" t="s">
        <v>747</v>
      </c>
      <c r="D190" s="87" t="s">
        <v>874</v>
      </c>
      <c r="E190" s="58" t="s">
        <v>662</v>
      </c>
      <c r="F190" s="617" t="s">
        <v>663</v>
      </c>
      <c r="G190" s="617" t="s">
        <v>664</v>
      </c>
      <c r="H190" s="622" t="s">
        <v>697</v>
      </c>
      <c r="I190" s="100">
        <f>VLOOKUP(H190,References!$B$7:$F$249,5,FALSE)</f>
        <v>21</v>
      </c>
    </row>
    <row r="191" spans="1:9" ht="16" x14ac:dyDescent="0.2">
      <c r="A191" s="830"/>
      <c r="B191" s="869"/>
      <c r="C191" s="149" t="s">
        <v>747</v>
      </c>
      <c r="D191" s="87" t="s">
        <v>875</v>
      </c>
      <c r="E191" s="58" t="s">
        <v>662</v>
      </c>
      <c r="F191" s="617" t="s">
        <v>746</v>
      </c>
      <c r="G191" s="617" t="s">
        <v>664</v>
      </c>
      <c r="H191" s="622" t="s">
        <v>697</v>
      </c>
      <c r="I191" s="100">
        <f>VLOOKUP(H191,References!$B$7:$F$249,5,FALSE)</f>
        <v>21</v>
      </c>
    </row>
    <row r="192" spans="1:9" ht="16" x14ac:dyDescent="0.2">
      <c r="A192" s="830"/>
      <c r="B192" s="869"/>
      <c r="C192" s="149" t="s">
        <v>657</v>
      </c>
      <c r="D192" s="87" t="s">
        <v>876</v>
      </c>
      <c r="E192" s="58" t="s">
        <v>667</v>
      </c>
      <c r="F192" s="617" t="s">
        <v>668</v>
      </c>
      <c r="G192" s="617" t="s">
        <v>682</v>
      </c>
      <c r="H192" s="622" t="s">
        <v>751</v>
      </c>
      <c r="I192" s="100">
        <f>VLOOKUP(H192,References!$B$7:$F$249,5,FALSE)</f>
        <v>87</v>
      </c>
    </row>
    <row r="193" spans="1:12" ht="16" x14ac:dyDescent="0.2">
      <c r="A193" s="830"/>
      <c r="B193" s="869"/>
      <c r="C193" s="149" t="s">
        <v>747</v>
      </c>
      <c r="D193" s="87" t="s">
        <v>877</v>
      </c>
      <c r="E193" s="58" t="s">
        <v>662</v>
      </c>
      <c r="F193" s="617" t="s">
        <v>663</v>
      </c>
      <c r="G193" s="617" t="s">
        <v>664</v>
      </c>
      <c r="H193" s="622" t="s">
        <v>719</v>
      </c>
      <c r="I193" s="100">
        <f>VLOOKUP(H193,References!$B$7:$F$249,5,FALSE)</f>
        <v>89</v>
      </c>
    </row>
    <row r="194" spans="1:12" ht="16" x14ac:dyDescent="0.2">
      <c r="A194" s="830"/>
      <c r="B194" s="869"/>
      <c r="C194" s="149" t="s">
        <v>743</v>
      </c>
      <c r="D194" s="87" t="s">
        <v>878</v>
      </c>
      <c r="E194" s="58" t="s">
        <v>662</v>
      </c>
      <c r="F194" s="617" t="s">
        <v>663</v>
      </c>
      <c r="G194" s="617" t="s">
        <v>664</v>
      </c>
      <c r="H194" s="622" t="s">
        <v>719</v>
      </c>
      <c r="I194" s="100">
        <f>VLOOKUP(H194,References!$B$7:$F$249,5,FALSE)</f>
        <v>89</v>
      </c>
    </row>
    <row r="195" spans="1:12" ht="16" x14ac:dyDescent="0.2">
      <c r="A195" s="830"/>
      <c r="B195" s="869"/>
      <c r="C195" s="149" t="s">
        <v>657</v>
      </c>
      <c r="D195" s="87" t="s">
        <v>879</v>
      </c>
      <c r="E195" s="58" t="s">
        <v>662</v>
      </c>
      <c r="F195" s="617" t="s">
        <v>663</v>
      </c>
      <c r="G195" s="617" t="s">
        <v>664</v>
      </c>
      <c r="H195" s="622" t="s">
        <v>754</v>
      </c>
      <c r="I195" s="100">
        <f>VLOOKUP(H195,References!$B$7:$F$249,5,FALSE)</f>
        <v>94</v>
      </c>
    </row>
    <row r="196" spans="1:12" ht="16" x14ac:dyDescent="0.2">
      <c r="A196" s="830"/>
      <c r="B196" s="869"/>
      <c r="C196" s="149" t="s">
        <v>657</v>
      </c>
      <c r="D196" s="87" t="s">
        <v>880</v>
      </c>
      <c r="E196" s="58" t="s">
        <v>30</v>
      </c>
      <c r="F196" s="617" t="s">
        <v>658</v>
      </c>
      <c r="G196" s="617" t="s">
        <v>659</v>
      </c>
      <c r="H196" s="622" t="s">
        <v>606</v>
      </c>
      <c r="I196" s="100">
        <f>VLOOKUP(H196,References!$B$7:$F$249,5,FALSE)</f>
        <v>135</v>
      </c>
    </row>
    <row r="197" spans="1:12" ht="16" x14ac:dyDescent="0.2">
      <c r="A197" s="830"/>
      <c r="B197" s="869"/>
      <c r="C197" s="149" t="s">
        <v>657</v>
      </c>
      <c r="D197" s="87" t="s">
        <v>881</v>
      </c>
      <c r="E197" s="58" t="s">
        <v>662</v>
      </c>
      <c r="F197" s="617" t="s">
        <v>663</v>
      </c>
      <c r="G197" s="617" t="s">
        <v>664</v>
      </c>
      <c r="H197" s="622" t="s">
        <v>699</v>
      </c>
      <c r="I197" s="100">
        <f>VLOOKUP(H197,References!$B$7:$F$249,5,FALSE)</f>
        <v>27</v>
      </c>
    </row>
    <row r="198" spans="1:12" ht="16" x14ac:dyDescent="0.2">
      <c r="A198" s="830"/>
      <c r="B198" s="869"/>
      <c r="C198" s="149" t="s">
        <v>671</v>
      </c>
      <c r="D198" s="87" t="s">
        <v>882</v>
      </c>
      <c r="E198" s="58" t="s">
        <v>662</v>
      </c>
      <c r="F198" s="617" t="s">
        <v>668</v>
      </c>
      <c r="G198" s="617" t="s">
        <v>664</v>
      </c>
      <c r="H198" s="622" t="s">
        <v>688</v>
      </c>
      <c r="I198" s="100">
        <f>VLOOKUP(H198,References!$B$7:$F$249,5,FALSE)</f>
        <v>130</v>
      </c>
    </row>
    <row r="199" spans="1:12" ht="16" x14ac:dyDescent="0.2">
      <c r="A199" s="830"/>
      <c r="B199" s="869"/>
      <c r="C199" s="149" t="s">
        <v>671</v>
      </c>
      <c r="D199" s="87" t="s">
        <v>883</v>
      </c>
      <c r="E199" s="58" t="s">
        <v>662</v>
      </c>
      <c r="F199" s="617" t="s">
        <v>663</v>
      </c>
      <c r="G199" s="617" t="s">
        <v>664</v>
      </c>
      <c r="H199" s="622" t="s">
        <v>673</v>
      </c>
      <c r="I199" s="100">
        <f>VLOOKUP(H199,References!$B$7:$F$249,5,FALSE)</f>
        <v>91</v>
      </c>
    </row>
    <row r="200" spans="1:12" ht="16" x14ac:dyDescent="0.2">
      <c r="A200" s="830"/>
      <c r="B200" s="869"/>
      <c r="C200" s="149" t="s">
        <v>657</v>
      </c>
      <c r="D200" s="87" t="s">
        <v>884</v>
      </c>
      <c r="E200" s="58" t="s">
        <v>667</v>
      </c>
      <c r="F200" s="617" t="s">
        <v>668</v>
      </c>
      <c r="G200" s="617" t="s">
        <v>669</v>
      </c>
      <c r="H200" s="622" t="s">
        <v>675</v>
      </c>
      <c r="I200" s="100">
        <f>VLOOKUP(H200,References!$B$7:$F$249,5,FALSE)</f>
        <v>97</v>
      </c>
    </row>
    <row r="201" spans="1:12" ht="16" x14ac:dyDescent="0.2">
      <c r="A201" s="830"/>
      <c r="B201" s="869"/>
      <c r="C201" s="149" t="s">
        <v>657</v>
      </c>
      <c r="D201" s="87" t="s">
        <v>885</v>
      </c>
      <c r="E201" s="58" t="s">
        <v>662</v>
      </c>
      <c r="F201" s="617" t="s">
        <v>663</v>
      </c>
      <c r="G201" s="617" t="s">
        <v>664</v>
      </c>
      <c r="H201" s="617" t="s">
        <v>680</v>
      </c>
      <c r="I201" s="100">
        <f>VLOOKUP(H201,References!$B$7:$F$249,5,FALSE)</f>
        <v>92</v>
      </c>
    </row>
    <row r="202" spans="1:12" ht="16" x14ac:dyDescent="0.2">
      <c r="A202" s="830"/>
      <c r="B202" s="869"/>
      <c r="C202" s="149" t="s">
        <v>671</v>
      </c>
      <c r="D202" s="87" t="s">
        <v>886</v>
      </c>
      <c r="E202" s="58" t="s">
        <v>677</v>
      </c>
      <c r="F202" s="617" t="s">
        <v>668</v>
      </c>
      <c r="G202" s="617" t="s">
        <v>664</v>
      </c>
      <c r="H202" s="622" t="s">
        <v>678</v>
      </c>
      <c r="I202" s="100">
        <f>VLOOKUP(H202,References!$B$7:$F$249,5,FALSE)</f>
        <v>7</v>
      </c>
    </row>
    <row r="203" spans="1:12" ht="16" x14ac:dyDescent="0.2">
      <c r="A203" s="830"/>
      <c r="B203" s="869"/>
      <c r="C203" s="149" t="s">
        <v>671</v>
      </c>
      <c r="D203" s="87" t="s">
        <v>887</v>
      </c>
      <c r="E203" s="392" t="s">
        <v>662</v>
      </c>
      <c r="F203" s="617" t="s">
        <v>663</v>
      </c>
      <c r="G203" s="617" t="s">
        <v>664</v>
      </c>
      <c r="H203" s="622" t="s">
        <v>724</v>
      </c>
      <c r="I203" s="100">
        <f>VLOOKUP(H203,References!$B$7:$F$249,5,FALSE)</f>
        <v>90</v>
      </c>
    </row>
    <row r="204" spans="1:12" s="44" customFormat="1" ht="16" x14ac:dyDescent="0.2">
      <c r="A204" s="830"/>
      <c r="B204" s="869"/>
      <c r="C204" s="149" t="s">
        <v>743</v>
      </c>
      <c r="D204" s="87" t="s">
        <v>888</v>
      </c>
      <c r="E204" s="630" t="s">
        <v>662</v>
      </c>
      <c r="F204" s="617" t="s">
        <v>663</v>
      </c>
      <c r="G204" s="617" t="s">
        <v>664</v>
      </c>
      <c r="H204" s="622" t="s">
        <v>705</v>
      </c>
      <c r="I204" s="100">
        <f>VLOOKUP(H204,References!$B$7:$F$249,5,FALSE)</f>
        <v>70</v>
      </c>
      <c r="J204" s="6"/>
      <c r="K204" s="6"/>
      <c r="L204" s="6"/>
    </row>
    <row r="205" spans="1:12" s="44" customFormat="1" ht="16" x14ac:dyDescent="0.2">
      <c r="A205" s="830"/>
      <c r="B205" s="869"/>
      <c r="C205" s="149" t="s">
        <v>657</v>
      </c>
      <c r="D205" s="87" t="s">
        <v>889</v>
      </c>
      <c r="E205" s="58" t="s">
        <v>667</v>
      </c>
      <c r="F205" s="617" t="s">
        <v>890</v>
      </c>
      <c r="G205" s="617" t="s">
        <v>682</v>
      </c>
      <c r="H205" s="622" t="s">
        <v>891</v>
      </c>
      <c r="I205" s="100">
        <f>VLOOKUP(H205,References!$B$7:$F$249,5,FALSE)</f>
        <v>128</v>
      </c>
      <c r="J205" s="6"/>
      <c r="K205" s="6"/>
      <c r="L205" s="6"/>
    </row>
    <row r="206" spans="1:12" ht="16" x14ac:dyDescent="0.2">
      <c r="A206" s="207" t="s">
        <v>195</v>
      </c>
      <c r="B206" s="152" t="s">
        <v>196</v>
      </c>
      <c r="C206" s="152"/>
      <c r="D206" s="199"/>
      <c r="E206" s="260"/>
      <c r="F206" s="640"/>
      <c r="G206" s="640"/>
      <c r="H206" s="640"/>
      <c r="I206" s="124"/>
    </row>
    <row r="207" spans="1:12" ht="16" x14ac:dyDescent="0.2">
      <c r="A207" s="839" t="s">
        <v>201</v>
      </c>
      <c r="B207" s="850" t="s">
        <v>202</v>
      </c>
      <c r="C207" s="150" t="s">
        <v>657</v>
      </c>
      <c r="D207" s="641" t="s">
        <v>892</v>
      </c>
      <c r="E207" s="57" t="s">
        <v>667</v>
      </c>
      <c r="F207" s="628" t="s">
        <v>663</v>
      </c>
      <c r="G207" s="628" t="s">
        <v>669</v>
      </c>
      <c r="H207" s="629" t="s">
        <v>729</v>
      </c>
      <c r="I207" s="121">
        <f>VLOOKUP(H207,References!$B$7:$F$249,5,FALSE)</f>
        <v>49</v>
      </c>
    </row>
    <row r="208" spans="1:12" s="44" customFormat="1" ht="16" x14ac:dyDescent="0.2">
      <c r="A208" s="838"/>
      <c r="B208" s="869"/>
      <c r="C208" s="149" t="s">
        <v>671</v>
      </c>
      <c r="D208" s="87" t="s">
        <v>893</v>
      </c>
      <c r="E208" s="58" t="s">
        <v>662</v>
      </c>
      <c r="F208" s="617" t="s">
        <v>668</v>
      </c>
      <c r="G208" s="617" t="s">
        <v>664</v>
      </c>
      <c r="H208" s="622" t="s">
        <v>688</v>
      </c>
      <c r="I208" s="100">
        <f>VLOOKUP(H208,References!$B$7:$F$249,5,FALSE)</f>
        <v>130</v>
      </c>
      <c r="J208" s="6"/>
      <c r="K208" s="6"/>
      <c r="L208" s="6"/>
    </row>
    <row r="209" spans="1:17" ht="16" x14ac:dyDescent="0.2">
      <c r="A209" s="840"/>
      <c r="B209" s="851"/>
      <c r="C209" s="182" t="s">
        <v>671</v>
      </c>
      <c r="D209" s="389" t="s">
        <v>894</v>
      </c>
      <c r="E209" s="59" t="s">
        <v>677</v>
      </c>
      <c r="F209" s="620" t="s">
        <v>668</v>
      </c>
      <c r="G209" s="620" t="s">
        <v>664</v>
      </c>
      <c r="H209" s="626" t="s">
        <v>678</v>
      </c>
      <c r="I209" s="122">
        <f>VLOOKUP(H209,References!$B$7:$F$249,5,FALSE)</f>
        <v>7</v>
      </c>
    </row>
    <row r="210" spans="1:17" customFormat="1" ht="17" thickBot="1" x14ac:dyDescent="0.25">
      <c r="A210" s="192" t="s">
        <v>207</v>
      </c>
      <c r="B210" s="146" t="s">
        <v>208</v>
      </c>
      <c r="C210" s="146"/>
      <c r="D210" s="146"/>
      <c r="E210" s="284"/>
      <c r="F210" s="284"/>
      <c r="G210" s="138"/>
      <c r="H210" s="597"/>
      <c r="I210" s="101"/>
    </row>
    <row r="211" spans="1:17" ht="17" thickBot="1" x14ac:dyDescent="0.25">
      <c r="A211" s="130" t="s">
        <v>210</v>
      </c>
      <c r="B211" s="175" t="s">
        <v>211</v>
      </c>
      <c r="C211" s="635"/>
      <c r="D211" s="636"/>
      <c r="E211" s="256"/>
      <c r="F211" s="636"/>
      <c r="G211" s="636"/>
      <c r="H211" s="636"/>
      <c r="I211" s="637"/>
    </row>
    <row r="212" spans="1:17" x14ac:dyDescent="0.2">
      <c r="A212" s="595" t="s">
        <v>212</v>
      </c>
      <c r="B212" s="296" t="s">
        <v>213</v>
      </c>
      <c r="C212" s="422"/>
      <c r="D212" s="642"/>
      <c r="E212" s="342"/>
      <c r="F212" s="642"/>
      <c r="G212" s="642"/>
      <c r="H212" s="642"/>
      <c r="I212" s="643"/>
    </row>
    <row r="213" spans="1:17" customFormat="1" ht="16" x14ac:dyDescent="0.2">
      <c r="A213" s="585" t="s">
        <v>215</v>
      </c>
      <c r="B213" s="239" t="s">
        <v>216</v>
      </c>
      <c r="C213" s="469"/>
      <c r="D213" s="469"/>
      <c r="E213" s="469"/>
      <c r="F213" s="469"/>
      <c r="G213" s="195"/>
      <c r="H213" s="598"/>
      <c r="I213" s="122"/>
    </row>
    <row r="214" spans="1:17" customFormat="1" ht="16" x14ac:dyDescent="0.2">
      <c r="A214" s="295" t="s">
        <v>221</v>
      </c>
      <c r="B214" s="131" t="s">
        <v>222</v>
      </c>
      <c r="C214" s="525"/>
      <c r="D214" s="525"/>
      <c r="E214" s="525"/>
      <c r="F214" s="525"/>
      <c r="G214" s="142"/>
      <c r="H214" s="599"/>
      <c r="I214" s="124"/>
    </row>
    <row r="215" spans="1:17" ht="16" x14ac:dyDescent="0.2">
      <c r="A215" s="243" t="s">
        <v>224</v>
      </c>
      <c r="B215" s="149" t="s">
        <v>225</v>
      </c>
      <c r="C215" s="149"/>
      <c r="D215" s="632"/>
      <c r="E215" s="258"/>
      <c r="F215" s="617"/>
      <c r="G215" s="617"/>
      <c r="H215" s="617"/>
      <c r="I215" s="122"/>
    </row>
    <row r="216" spans="1:17" ht="16" x14ac:dyDescent="0.2">
      <c r="A216" s="191" t="s">
        <v>230</v>
      </c>
      <c r="B216" s="152" t="s">
        <v>231</v>
      </c>
      <c r="C216" s="152" t="s">
        <v>657</v>
      </c>
      <c r="D216" s="199" t="s">
        <v>895</v>
      </c>
      <c r="E216" s="260" t="s">
        <v>30</v>
      </c>
      <c r="F216" s="640" t="s">
        <v>658</v>
      </c>
      <c r="G216" s="640" t="s">
        <v>659</v>
      </c>
      <c r="H216" s="644" t="s">
        <v>533</v>
      </c>
      <c r="I216" s="124">
        <f>VLOOKUP(H216,References!$B$7:$F$249,5,FALSE)</f>
        <v>40</v>
      </c>
    </row>
    <row r="217" spans="1:17" customFormat="1" ht="16" x14ac:dyDescent="0.2">
      <c r="A217" s="191" t="s">
        <v>236</v>
      </c>
      <c r="B217" s="153" t="s">
        <v>237</v>
      </c>
      <c r="C217" s="294"/>
      <c r="D217" s="294"/>
      <c r="E217" s="469"/>
      <c r="F217" s="469"/>
      <c r="G217" s="59"/>
      <c r="H217" s="598"/>
      <c r="I217" s="122"/>
    </row>
    <row r="218" spans="1:17" customFormat="1" ht="16" x14ac:dyDescent="0.2">
      <c r="A218" s="157" t="s">
        <v>242</v>
      </c>
      <c r="B218" s="152" t="s">
        <v>243</v>
      </c>
      <c r="C218" s="141"/>
      <c r="D218" s="153"/>
      <c r="E218" s="152"/>
      <c r="F218" s="153"/>
      <c r="G218" s="141"/>
      <c r="H218" s="328"/>
      <c r="I218" s="124"/>
      <c r="J218" s="438"/>
      <c r="K218" s="444"/>
      <c r="L218" s="452"/>
      <c r="M218" s="444"/>
      <c r="N218" s="452"/>
      <c r="O218" s="438"/>
      <c r="P218" s="437"/>
      <c r="Q218" s="451"/>
    </row>
    <row r="219" spans="1:17" customFormat="1" ht="16" x14ac:dyDescent="0.2">
      <c r="A219" s="207" t="s">
        <v>248</v>
      </c>
      <c r="B219" s="239" t="s">
        <v>249</v>
      </c>
      <c r="C219" s="141"/>
      <c r="D219" s="153"/>
      <c r="E219" s="152"/>
      <c r="F219" s="153"/>
      <c r="G219" s="141"/>
      <c r="H219" s="328"/>
      <c r="I219" s="124"/>
      <c r="J219" s="438"/>
      <c r="K219" s="444"/>
      <c r="L219" s="452"/>
      <c r="M219" s="444"/>
      <c r="N219" s="452"/>
      <c r="O219" s="438"/>
      <c r="P219" s="437"/>
      <c r="Q219" s="438"/>
    </row>
    <row r="220" spans="1:17" customFormat="1" ht="17" thickBot="1" x14ac:dyDescent="0.25">
      <c r="A220" s="586" t="s">
        <v>252</v>
      </c>
      <c r="B220" s="145" t="s">
        <v>253</v>
      </c>
      <c r="C220" s="139"/>
      <c r="D220" s="146"/>
      <c r="E220" s="188"/>
      <c r="F220" s="146"/>
      <c r="G220" s="139"/>
      <c r="H220" s="324"/>
      <c r="I220" s="101"/>
      <c r="J220" s="438"/>
      <c r="K220" s="444"/>
      <c r="L220" s="452"/>
      <c r="M220" s="444"/>
      <c r="N220" s="452"/>
      <c r="O220" s="438"/>
      <c r="P220" s="437"/>
      <c r="Q220" s="438"/>
    </row>
    <row r="221" spans="1:17" ht="16" thickBot="1" x14ac:dyDescent="0.25">
      <c r="A221" s="130" t="s">
        <v>255</v>
      </c>
      <c r="B221" s="129" t="s">
        <v>256</v>
      </c>
      <c r="C221" s="635"/>
      <c r="D221" s="636"/>
      <c r="E221" s="256"/>
      <c r="F221" s="636"/>
      <c r="G221" s="636"/>
      <c r="H221" s="636"/>
      <c r="I221" s="637"/>
    </row>
    <row r="222" spans="1:17" ht="16" x14ac:dyDescent="0.2">
      <c r="A222" s="206" t="s">
        <v>257</v>
      </c>
      <c r="B222" s="155" t="s">
        <v>258</v>
      </c>
      <c r="C222" s="522"/>
      <c r="D222" s="645"/>
      <c r="E222" s="342"/>
      <c r="F222" s="642"/>
      <c r="G222" s="642"/>
      <c r="H222" s="642"/>
      <c r="I222" s="173"/>
    </row>
    <row r="223" spans="1:17" ht="16" x14ac:dyDescent="0.2">
      <c r="A223" s="839" t="s">
        <v>260</v>
      </c>
      <c r="B223" s="850" t="s">
        <v>261</v>
      </c>
      <c r="C223" s="149" t="s">
        <v>657</v>
      </c>
      <c r="D223" s="87" t="s">
        <v>896</v>
      </c>
      <c r="E223" s="258" t="s">
        <v>662</v>
      </c>
      <c r="F223" s="617" t="s">
        <v>663</v>
      </c>
      <c r="G223" s="617" t="s">
        <v>664</v>
      </c>
      <c r="H223" s="622" t="s">
        <v>739</v>
      </c>
      <c r="I223" s="100">
        <f>VLOOKUP(H223,References!$B$7:$F$249,5,FALSE)</f>
        <v>93</v>
      </c>
    </row>
    <row r="224" spans="1:17" ht="16" x14ac:dyDescent="0.2">
      <c r="A224" s="838"/>
      <c r="B224" s="869"/>
      <c r="C224" s="149" t="s">
        <v>657</v>
      </c>
      <c r="D224" s="87" t="s">
        <v>897</v>
      </c>
      <c r="E224" s="258" t="s">
        <v>662</v>
      </c>
      <c r="F224" s="617" t="s">
        <v>663</v>
      </c>
      <c r="G224" s="617" t="s">
        <v>664</v>
      </c>
      <c r="H224" s="622" t="s">
        <v>754</v>
      </c>
      <c r="I224" s="100">
        <f>VLOOKUP(H224,References!$B$7:$F$249,5,FALSE)</f>
        <v>94</v>
      </c>
    </row>
    <row r="225" spans="1:12" ht="16" x14ac:dyDescent="0.2">
      <c r="A225" s="838"/>
      <c r="B225" s="869"/>
      <c r="C225" s="149" t="s">
        <v>671</v>
      </c>
      <c r="D225" s="87" t="s">
        <v>898</v>
      </c>
      <c r="E225" s="258" t="s">
        <v>662</v>
      </c>
      <c r="F225" s="617" t="s">
        <v>663</v>
      </c>
      <c r="G225" s="617" t="s">
        <v>664</v>
      </c>
      <c r="H225" s="622" t="s">
        <v>673</v>
      </c>
      <c r="I225" s="100">
        <f>VLOOKUP(H225,References!$B$7:$F$249,5,FALSE)</f>
        <v>91</v>
      </c>
    </row>
    <row r="226" spans="1:12" ht="16" x14ac:dyDescent="0.2">
      <c r="A226" s="838"/>
      <c r="B226" s="869"/>
      <c r="C226" s="149" t="s">
        <v>671</v>
      </c>
      <c r="D226" s="87" t="s">
        <v>899</v>
      </c>
      <c r="E226" s="58" t="s">
        <v>662</v>
      </c>
      <c r="F226" s="617" t="s">
        <v>668</v>
      </c>
      <c r="G226" s="617" t="s">
        <v>664</v>
      </c>
      <c r="H226" s="622" t="s">
        <v>688</v>
      </c>
      <c r="I226" s="100">
        <f>VLOOKUP(H226,References!$B$7:$F$249,5,FALSE)</f>
        <v>130</v>
      </c>
    </row>
    <row r="227" spans="1:12" s="44" customFormat="1" ht="16" x14ac:dyDescent="0.2">
      <c r="A227" s="838"/>
      <c r="B227" s="869"/>
      <c r="C227" s="149" t="s">
        <v>657</v>
      </c>
      <c r="D227" s="87" t="s">
        <v>900</v>
      </c>
      <c r="E227" s="258" t="s">
        <v>662</v>
      </c>
      <c r="F227" s="617" t="s">
        <v>663</v>
      </c>
      <c r="G227" s="617" t="s">
        <v>664</v>
      </c>
      <c r="H227" s="622" t="s">
        <v>724</v>
      </c>
      <c r="I227" s="100">
        <f>VLOOKUP(H227,References!$B$7:$F$249,5,FALSE)</f>
        <v>90</v>
      </c>
      <c r="J227" s="6"/>
      <c r="K227" s="6"/>
      <c r="L227" s="6"/>
    </row>
    <row r="228" spans="1:12" ht="16" x14ac:dyDescent="0.2">
      <c r="A228" s="840"/>
      <c r="B228" s="851"/>
      <c r="C228" s="182" t="s">
        <v>671</v>
      </c>
      <c r="D228" s="624" t="s">
        <v>901</v>
      </c>
      <c r="E228" s="259" t="s">
        <v>677</v>
      </c>
      <c r="F228" s="620" t="s">
        <v>668</v>
      </c>
      <c r="G228" s="620" t="s">
        <v>664</v>
      </c>
      <c r="H228" s="626" t="s">
        <v>678</v>
      </c>
      <c r="I228" s="122">
        <f>VLOOKUP(H228,References!$B$7:$F$249,5,FALSE)</f>
        <v>7</v>
      </c>
    </row>
    <row r="229" spans="1:12" ht="16" x14ac:dyDescent="0.2">
      <c r="A229" s="839" t="s">
        <v>266</v>
      </c>
      <c r="B229" s="850" t="s">
        <v>267</v>
      </c>
      <c r="C229" s="149" t="s">
        <v>671</v>
      </c>
      <c r="D229" s="87" t="s">
        <v>902</v>
      </c>
      <c r="E229" s="58" t="s">
        <v>662</v>
      </c>
      <c r="F229" s="617" t="s">
        <v>668</v>
      </c>
      <c r="G229" s="617" t="s">
        <v>664</v>
      </c>
      <c r="H229" s="622" t="s">
        <v>688</v>
      </c>
      <c r="I229" s="100">
        <f>VLOOKUP(H229,References!$B$7:$F$249,5,FALSE)</f>
        <v>130</v>
      </c>
    </row>
    <row r="230" spans="1:12" s="44" customFormat="1" ht="16" x14ac:dyDescent="0.2">
      <c r="A230" s="840"/>
      <c r="B230" s="851"/>
      <c r="C230" s="182" t="s">
        <v>671</v>
      </c>
      <c r="D230" s="389" t="s">
        <v>903</v>
      </c>
      <c r="E230" s="259" t="s">
        <v>677</v>
      </c>
      <c r="F230" s="620" t="s">
        <v>668</v>
      </c>
      <c r="G230" s="620" t="s">
        <v>664</v>
      </c>
      <c r="H230" s="626" t="s">
        <v>678</v>
      </c>
      <c r="I230" s="122">
        <f>VLOOKUP(H230,References!$B$7:$F$249,5,FALSE)</f>
        <v>7</v>
      </c>
      <c r="J230" s="6"/>
      <c r="K230" s="6"/>
      <c r="L230" s="6"/>
    </row>
    <row r="231" spans="1:12" ht="17" thickBot="1" x14ac:dyDescent="0.25">
      <c r="A231" s="646" t="s">
        <v>272</v>
      </c>
      <c r="B231" s="647" t="s">
        <v>273</v>
      </c>
      <c r="C231" s="188"/>
      <c r="D231" s="209"/>
      <c r="E231" s="261"/>
      <c r="F231" s="633"/>
      <c r="G231" s="633"/>
      <c r="H231" s="634"/>
      <c r="I231" s="101"/>
    </row>
    <row r="232" spans="1:12" ht="17" thickBot="1" x14ac:dyDescent="0.25">
      <c r="A232" s="130" t="s">
        <v>276</v>
      </c>
      <c r="B232" s="175" t="s">
        <v>277</v>
      </c>
      <c r="C232" s="635"/>
      <c r="D232" s="636"/>
      <c r="E232" s="256"/>
      <c r="F232" s="636"/>
      <c r="G232" s="636"/>
      <c r="H232" s="636"/>
      <c r="I232" s="637"/>
    </row>
    <row r="233" spans="1:12" x14ac:dyDescent="0.2">
      <c r="A233" s="648" t="s">
        <v>278</v>
      </c>
      <c r="B233" s="466" t="s">
        <v>279</v>
      </c>
      <c r="C233" s="422"/>
      <c r="D233" s="642"/>
      <c r="E233" s="342"/>
      <c r="F233" s="642"/>
      <c r="G233" s="642"/>
      <c r="H233" s="642"/>
      <c r="I233" s="643"/>
    </row>
    <row r="234" spans="1:12" ht="16" thickBot="1" x14ac:dyDescent="0.25">
      <c r="A234" s="584" t="s">
        <v>283</v>
      </c>
      <c r="B234" s="151" t="s">
        <v>284</v>
      </c>
      <c r="C234" s="200"/>
      <c r="D234" s="628"/>
      <c r="E234" s="390"/>
      <c r="F234" s="628"/>
      <c r="G234" s="628"/>
      <c r="H234" s="628"/>
      <c r="I234" s="649"/>
    </row>
    <row r="235" spans="1:12" ht="16" x14ac:dyDescent="0.2">
      <c r="A235" s="865" t="s">
        <v>290</v>
      </c>
      <c r="B235" s="896" t="s">
        <v>291</v>
      </c>
      <c r="C235" s="155" t="s">
        <v>657</v>
      </c>
      <c r="D235" s="650" t="s">
        <v>904</v>
      </c>
      <c r="E235" s="391" t="s">
        <v>662</v>
      </c>
      <c r="F235" s="613" t="s">
        <v>696</v>
      </c>
      <c r="G235" s="613" t="s">
        <v>664</v>
      </c>
      <c r="H235" s="639" t="s">
        <v>712</v>
      </c>
      <c r="I235" s="99">
        <f>VLOOKUP(H235,References!$B$7:$F$249,5,FALSE)</f>
        <v>5</v>
      </c>
    </row>
    <row r="236" spans="1:12" ht="16" x14ac:dyDescent="0.2">
      <c r="A236" s="838"/>
      <c r="B236" s="869"/>
      <c r="C236" s="149" t="s">
        <v>657</v>
      </c>
      <c r="D236" s="87" t="s">
        <v>905</v>
      </c>
      <c r="E236" s="58" t="s">
        <v>667</v>
      </c>
      <c r="F236" s="617" t="s">
        <v>663</v>
      </c>
      <c r="G236" s="617" t="s">
        <v>682</v>
      </c>
      <c r="H236" s="622" t="s">
        <v>735</v>
      </c>
      <c r="I236" s="100">
        <f>VLOOKUP(H236,References!$B$7:$F$249,5,FALSE)</f>
        <v>6</v>
      </c>
    </row>
    <row r="237" spans="1:12" ht="16" x14ac:dyDescent="0.2">
      <c r="A237" s="838"/>
      <c r="B237" s="869"/>
      <c r="C237" s="149" t="s">
        <v>657</v>
      </c>
      <c r="D237" s="87" t="s">
        <v>906</v>
      </c>
      <c r="E237" s="58" t="s">
        <v>662</v>
      </c>
      <c r="F237" s="617" t="s">
        <v>696</v>
      </c>
      <c r="G237" s="617" t="s">
        <v>664</v>
      </c>
      <c r="H237" s="622" t="s">
        <v>697</v>
      </c>
      <c r="I237" s="100">
        <f>VLOOKUP(H237,References!$B$7:$F$249,5,FALSE)</f>
        <v>21</v>
      </c>
    </row>
    <row r="238" spans="1:12" ht="16" x14ac:dyDescent="0.2">
      <c r="A238" s="838"/>
      <c r="B238" s="869"/>
      <c r="C238" s="149" t="s">
        <v>657</v>
      </c>
      <c r="D238" s="87" t="s">
        <v>907</v>
      </c>
      <c r="E238" s="392" t="s">
        <v>662</v>
      </c>
      <c r="F238" s="617" t="s">
        <v>663</v>
      </c>
      <c r="G238" s="617" t="s">
        <v>664</v>
      </c>
      <c r="H238" s="622" t="s">
        <v>719</v>
      </c>
      <c r="I238" s="100">
        <f>VLOOKUP(H238,References!$B$7:$F$249,5,FALSE)</f>
        <v>89</v>
      </c>
    </row>
    <row r="239" spans="1:12" ht="16" x14ac:dyDescent="0.2">
      <c r="A239" s="838"/>
      <c r="B239" s="869"/>
      <c r="C239" s="149" t="s">
        <v>671</v>
      </c>
      <c r="D239" s="87" t="s">
        <v>908</v>
      </c>
      <c r="E239" s="392" t="s">
        <v>662</v>
      </c>
      <c r="F239" s="617" t="s">
        <v>663</v>
      </c>
      <c r="G239" s="617" t="s">
        <v>664</v>
      </c>
      <c r="H239" s="622" t="s">
        <v>673</v>
      </c>
      <c r="I239" s="100">
        <f>VLOOKUP(H239,References!$B$7:$F$249,5,FALSE)</f>
        <v>91</v>
      </c>
    </row>
    <row r="240" spans="1:12" ht="16" x14ac:dyDescent="0.2">
      <c r="A240" s="838"/>
      <c r="B240" s="869"/>
      <c r="C240" s="149" t="s">
        <v>671</v>
      </c>
      <c r="D240" s="87" t="s">
        <v>909</v>
      </c>
      <c r="E240" s="58" t="s">
        <v>662</v>
      </c>
      <c r="F240" s="617" t="s">
        <v>668</v>
      </c>
      <c r="G240" s="617" t="s">
        <v>664</v>
      </c>
      <c r="H240" s="622" t="s">
        <v>688</v>
      </c>
      <c r="I240" s="100">
        <f>VLOOKUP(H240,References!$B$7:$F$249,5,FALSE)</f>
        <v>130</v>
      </c>
    </row>
    <row r="241" spans="1:18" ht="16" x14ac:dyDescent="0.2">
      <c r="A241" s="838"/>
      <c r="B241" s="869"/>
      <c r="C241" s="149" t="s">
        <v>657</v>
      </c>
      <c r="D241" s="87" t="s">
        <v>910</v>
      </c>
      <c r="E241" s="58" t="s">
        <v>667</v>
      </c>
      <c r="F241" s="617" t="s">
        <v>668</v>
      </c>
      <c r="G241" s="617" t="s">
        <v>669</v>
      </c>
      <c r="H241" s="622" t="s">
        <v>675</v>
      </c>
      <c r="I241" s="100">
        <f>VLOOKUP(H241,References!$B$7:$F$249,5,FALSE)</f>
        <v>97</v>
      </c>
    </row>
    <row r="242" spans="1:18" ht="16" x14ac:dyDescent="0.2">
      <c r="A242" s="838"/>
      <c r="B242" s="869"/>
      <c r="C242" s="149" t="s">
        <v>671</v>
      </c>
      <c r="D242" s="87" t="s">
        <v>911</v>
      </c>
      <c r="E242" s="58" t="s">
        <v>677</v>
      </c>
      <c r="F242" s="617" t="s">
        <v>668</v>
      </c>
      <c r="G242" s="617" t="s">
        <v>664</v>
      </c>
      <c r="H242" s="622" t="s">
        <v>678</v>
      </c>
      <c r="I242" s="100">
        <f>VLOOKUP(H242,References!$B$7:$F$249,5,FALSE)</f>
        <v>7</v>
      </c>
    </row>
    <row r="243" spans="1:18" s="44" customFormat="1" ht="16" x14ac:dyDescent="0.2">
      <c r="A243" s="838"/>
      <c r="B243" s="869"/>
      <c r="C243" s="149" t="s">
        <v>657</v>
      </c>
      <c r="D243" s="87" t="s">
        <v>912</v>
      </c>
      <c r="E243" s="392" t="s">
        <v>662</v>
      </c>
      <c r="F243" s="617" t="s">
        <v>663</v>
      </c>
      <c r="G243" s="617" t="s">
        <v>664</v>
      </c>
      <c r="H243" s="622" t="s">
        <v>724</v>
      </c>
      <c r="I243" s="100">
        <f>VLOOKUP(H243,References!$B$7:$F$249,5,FALSE)</f>
        <v>90</v>
      </c>
      <c r="J243" s="6"/>
      <c r="K243" s="6"/>
      <c r="L243" s="6"/>
    </row>
    <row r="244" spans="1:18" s="44" customFormat="1" ht="16" x14ac:dyDescent="0.2">
      <c r="A244" s="838"/>
      <c r="B244" s="869"/>
      <c r="C244" s="149" t="s">
        <v>657</v>
      </c>
      <c r="D244" s="87" t="s">
        <v>913</v>
      </c>
      <c r="E244" s="630" t="s">
        <v>662</v>
      </c>
      <c r="F244" s="617" t="s">
        <v>663</v>
      </c>
      <c r="G244" s="617" t="s">
        <v>664</v>
      </c>
      <c r="H244" s="622" t="s">
        <v>705</v>
      </c>
      <c r="I244" s="100">
        <f>VLOOKUP(H244,References!$B$7:$F$249,5,FALSE)</f>
        <v>70</v>
      </c>
      <c r="J244" s="6"/>
      <c r="K244" s="6"/>
      <c r="L244" s="6"/>
    </row>
    <row r="245" spans="1:18" ht="16" x14ac:dyDescent="0.2">
      <c r="A245" s="838"/>
      <c r="B245" s="869"/>
      <c r="C245" s="149" t="s">
        <v>657</v>
      </c>
      <c r="D245" s="87" t="s">
        <v>914</v>
      </c>
      <c r="E245" s="630" t="s">
        <v>27</v>
      </c>
      <c r="F245" s="617" t="s">
        <v>33</v>
      </c>
      <c r="G245" s="617" t="s">
        <v>33</v>
      </c>
      <c r="H245" s="622" t="s">
        <v>707</v>
      </c>
      <c r="I245" s="100">
        <f>VLOOKUP(H245,References!$B$7:$F$249,5,FALSE)</f>
        <v>3</v>
      </c>
    </row>
    <row r="246" spans="1:18" ht="16" x14ac:dyDescent="0.2">
      <c r="A246" s="207" t="s">
        <v>298</v>
      </c>
      <c r="B246" s="142" t="s">
        <v>299</v>
      </c>
      <c r="C246" s="142"/>
      <c r="D246" s="199"/>
      <c r="E246" s="260"/>
      <c r="F246" s="640"/>
      <c r="G246" s="640"/>
      <c r="H246" s="640"/>
      <c r="I246" s="124"/>
    </row>
    <row r="247" spans="1:18" ht="16" x14ac:dyDescent="0.2">
      <c r="A247" s="383" t="s">
        <v>305</v>
      </c>
      <c r="B247" s="134" t="s">
        <v>306</v>
      </c>
      <c r="C247" s="142" t="s">
        <v>657</v>
      </c>
      <c r="D247" s="199" t="s">
        <v>915</v>
      </c>
      <c r="E247" s="260" t="s">
        <v>662</v>
      </c>
      <c r="F247" s="640" t="s">
        <v>663</v>
      </c>
      <c r="G247" s="640" t="s">
        <v>664</v>
      </c>
      <c r="H247" s="644" t="s">
        <v>754</v>
      </c>
      <c r="I247" s="124">
        <f>VLOOKUP(H247,References!$B$7:$F$249,5,FALSE)</f>
        <v>94</v>
      </c>
    </row>
    <row r="248" spans="1:18" ht="32" x14ac:dyDescent="0.2">
      <c r="A248" s="157" t="s">
        <v>315</v>
      </c>
      <c r="B248" s="152" t="s">
        <v>316</v>
      </c>
      <c r="C248" s="195"/>
      <c r="D248" s="389"/>
      <c r="E248" s="259"/>
      <c r="F248" s="620"/>
      <c r="G248" s="620"/>
      <c r="H248" s="626"/>
      <c r="I248" s="122"/>
    </row>
    <row r="249" spans="1:18" ht="33" thickBot="1" x14ac:dyDescent="0.25">
      <c r="A249" s="187" t="s">
        <v>321</v>
      </c>
      <c r="B249" s="188" t="s">
        <v>322</v>
      </c>
      <c r="C249" s="140"/>
      <c r="D249" s="209"/>
      <c r="E249" s="261"/>
      <c r="F249" s="633"/>
      <c r="G249" s="633"/>
      <c r="H249" s="634"/>
      <c r="I249" s="101"/>
    </row>
    <row r="250" spans="1:18" ht="17" thickBot="1" x14ac:dyDescent="0.25">
      <c r="A250" s="651" t="s">
        <v>326</v>
      </c>
      <c r="B250" s="652" t="s">
        <v>327</v>
      </c>
      <c r="C250" s="652"/>
      <c r="D250" s="653"/>
      <c r="E250" s="388"/>
      <c r="F250" s="653"/>
      <c r="G250" s="653"/>
      <c r="H250" s="653"/>
      <c r="I250" s="654"/>
    </row>
    <row r="251" spans="1:18" s="2" customFormat="1" x14ac:dyDescent="0.2">
      <c r="A251" s="595" t="s">
        <v>328</v>
      </c>
      <c r="B251" s="296" t="s">
        <v>329</v>
      </c>
      <c r="C251" s="466"/>
      <c r="D251" s="296"/>
      <c r="E251" s="296"/>
      <c r="F251" s="296"/>
      <c r="G251" s="466"/>
      <c r="H251" s="296"/>
      <c r="I251" s="173"/>
      <c r="J251" s="3"/>
      <c r="K251" s="11"/>
      <c r="L251" s="11"/>
      <c r="M251" s="11"/>
      <c r="N251" s="11"/>
      <c r="O251" s="11"/>
      <c r="P251" s="11"/>
      <c r="Q251" s="11"/>
      <c r="R251" s="11"/>
    </row>
    <row r="252" spans="1:18" x14ac:dyDescent="0.2">
      <c r="A252" s="243" t="s">
        <v>332</v>
      </c>
      <c r="B252" s="58" t="s">
        <v>333</v>
      </c>
      <c r="C252" s="147"/>
      <c r="D252" s="632"/>
      <c r="E252" s="258"/>
      <c r="F252" s="617"/>
      <c r="G252" s="617"/>
      <c r="H252" s="617"/>
      <c r="I252" s="122"/>
    </row>
    <row r="253" spans="1:18" ht="16" x14ac:dyDescent="0.2">
      <c r="A253" s="191" t="s">
        <v>337</v>
      </c>
      <c r="B253" s="142" t="s">
        <v>338</v>
      </c>
      <c r="C253" s="655"/>
      <c r="D253" s="199"/>
      <c r="E253" s="260"/>
      <c r="F253" s="640"/>
      <c r="G253" s="640"/>
      <c r="H253" s="640"/>
      <c r="I253" s="124"/>
    </row>
    <row r="254" spans="1:18" ht="17" thickBot="1" x14ac:dyDescent="0.25">
      <c r="A254" s="192" t="s">
        <v>345</v>
      </c>
      <c r="B254" s="140" t="s">
        <v>346</v>
      </c>
      <c r="C254" s="140" t="s">
        <v>657</v>
      </c>
      <c r="D254" s="209" t="s">
        <v>916</v>
      </c>
      <c r="E254" s="261" t="s">
        <v>30</v>
      </c>
      <c r="F254" s="633" t="s">
        <v>658</v>
      </c>
      <c r="G254" s="633" t="s">
        <v>659</v>
      </c>
      <c r="H254" s="634" t="s">
        <v>606</v>
      </c>
      <c r="I254" s="100">
        <f>VLOOKUP(H254,References!$B$7:$F$249,5,FALSE)</f>
        <v>135</v>
      </c>
    </row>
    <row r="255" spans="1:18" ht="17" thickBot="1" x14ac:dyDescent="0.25">
      <c r="A255" s="130" t="s">
        <v>353</v>
      </c>
      <c r="B255" s="175" t="s">
        <v>354</v>
      </c>
      <c r="C255" s="175"/>
      <c r="D255" s="636"/>
      <c r="E255" s="256"/>
      <c r="F255" s="636"/>
      <c r="G255" s="636"/>
      <c r="H255" s="636"/>
      <c r="I255" s="637"/>
    </row>
    <row r="256" spans="1:18" x14ac:dyDescent="0.2">
      <c r="A256" s="190" t="s">
        <v>355</v>
      </c>
      <c r="B256" s="135" t="s">
        <v>356</v>
      </c>
      <c r="C256" s="656"/>
      <c r="D256" s="657"/>
      <c r="E256" s="257"/>
      <c r="F256" s="613"/>
      <c r="G256" s="613"/>
      <c r="H256" s="613"/>
      <c r="I256" s="173"/>
    </row>
    <row r="257" spans="1:9" ht="16" x14ac:dyDescent="0.2">
      <c r="A257" s="849" t="s">
        <v>362</v>
      </c>
      <c r="B257" s="833" t="s">
        <v>363</v>
      </c>
      <c r="C257" s="150" t="s">
        <v>657</v>
      </c>
      <c r="D257" s="641" t="s">
        <v>917</v>
      </c>
      <c r="E257" s="57" t="s">
        <v>667</v>
      </c>
      <c r="F257" s="628" t="s">
        <v>663</v>
      </c>
      <c r="G257" s="628" t="s">
        <v>669</v>
      </c>
      <c r="H257" s="629" t="s">
        <v>729</v>
      </c>
      <c r="I257" s="100">
        <f>VLOOKUP(H257,References!$B$7:$F$249,5,FALSE)</f>
        <v>49</v>
      </c>
    </row>
    <row r="258" spans="1:9" ht="16" x14ac:dyDescent="0.2">
      <c r="A258" s="830"/>
      <c r="B258" s="832"/>
      <c r="C258" s="145" t="s">
        <v>657</v>
      </c>
      <c r="D258" s="87" t="s">
        <v>780</v>
      </c>
      <c r="E258" s="258" t="s">
        <v>662</v>
      </c>
      <c r="F258" s="617" t="s">
        <v>663</v>
      </c>
      <c r="G258" s="617" t="s">
        <v>664</v>
      </c>
      <c r="H258" s="622" t="s">
        <v>739</v>
      </c>
      <c r="I258" s="100">
        <f>VLOOKUP(H258,References!$B$7:$F$249,5,FALSE)</f>
        <v>93</v>
      </c>
    </row>
    <row r="259" spans="1:9" ht="16" x14ac:dyDescent="0.2">
      <c r="A259" s="847"/>
      <c r="B259" s="834"/>
      <c r="C259" s="182" t="s">
        <v>657</v>
      </c>
      <c r="D259" s="624" t="s">
        <v>817</v>
      </c>
      <c r="E259" s="59" t="s">
        <v>662</v>
      </c>
      <c r="F259" s="620" t="s">
        <v>663</v>
      </c>
      <c r="G259" s="620" t="s">
        <v>664</v>
      </c>
      <c r="H259" s="626" t="s">
        <v>754</v>
      </c>
      <c r="I259" s="122">
        <f>VLOOKUP(H259,References!$B$7:$F$249,5,FALSE)</f>
        <v>94</v>
      </c>
    </row>
    <row r="260" spans="1:9" ht="16" x14ac:dyDescent="0.2">
      <c r="A260" s="830" t="s">
        <v>369</v>
      </c>
      <c r="B260" s="832" t="s">
        <v>370</v>
      </c>
      <c r="C260" s="149" t="s">
        <v>657</v>
      </c>
      <c r="D260" s="87" t="s">
        <v>918</v>
      </c>
      <c r="E260" s="58" t="s">
        <v>667</v>
      </c>
      <c r="F260" s="617" t="s">
        <v>663</v>
      </c>
      <c r="G260" s="617" t="s">
        <v>669</v>
      </c>
      <c r="H260" s="622" t="s">
        <v>729</v>
      </c>
      <c r="I260" s="100">
        <f>VLOOKUP(H260,References!$B$7:$F$249,5,FALSE)</f>
        <v>49</v>
      </c>
    </row>
    <row r="261" spans="1:9" ht="16" x14ac:dyDescent="0.2">
      <c r="A261" s="830"/>
      <c r="B261" s="832"/>
      <c r="C261" s="149" t="s">
        <v>657</v>
      </c>
      <c r="D261" s="87" t="s">
        <v>919</v>
      </c>
      <c r="E261" s="392" t="s">
        <v>662</v>
      </c>
      <c r="F261" s="617" t="s">
        <v>696</v>
      </c>
      <c r="G261" s="617" t="s">
        <v>664</v>
      </c>
      <c r="H261" s="622" t="s">
        <v>712</v>
      </c>
      <c r="I261" s="100">
        <f>VLOOKUP(H261,References!$B$7:$F$249,5,FALSE)</f>
        <v>5</v>
      </c>
    </row>
    <row r="262" spans="1:9" ht="16" x14ac:dyDescent="0.2">
      <c r="A262" s="830"/>
      <c r="B262" s="832"/>
      <c r="C262" s="145" t="s">
        <v>657</v>
      </c>
      <c r="D262" s="87" t="s">
        <v>920</v>
      </c>
      <c r="E262" s="392" t="s">
        <v>662</v>
      </c>
      <c r="F262" s="617" t="s">
        <v>663</v>
      </c>
      <c r="G262" s="617" t="s">
        <v>664</v>
      </c>
      <c r="H262" s="622" t="s">
        <v>739</v>
      </c>
      <c r="I262" s="100">
        <f>VLOOKUP(H262,References!$B$7:$F$249,5,FALSE)</f>
        <v>93</v>
      </c>
    </row>
    <row r="263" spans="1:9" ht="16" x14ac:dyDescent="0.2">
      <c r="A263" s="830"/>
      <c r="B263" s="832"/>
      <c r="C263" s="149" t="s">
        <v>657</v>
      </c>
      <c r="D263" s="87" t="s">
        <v>921</v>
      </c>
      <c r="E263" s="392" t="s">
        <v>662</v>
      </c>
      <c r="F263" s="617" t="s">
        <v>663</v>
      </c>
      <c r="G263" s="617" t="s">
        <v>664</v>
      </c>
      <c r="H263" s="622" t="s">
        <v>754</v>
      </c>
      <c r="I263" s="100">
        <f>VLOOKUP(H263,References!$B$7:$F$249,5,FALSE)</f>
        <v>94</v>
      </c>
    </row>
    <row r="264" spans="1:9" ht="17" thickBot="1" x14ac:dyDescent="0.25">
      <c r="A264" s="844"/>
      <c r="B264" s="845"/>
      <c r="C264" s="188" t="s">
        <v>657</v>
      </c>
      <c r="D264" s="658" t="s">
        <v>922</v>
      </c>
      <c r="E264" s="659" t="s">
        <v>662</v>
      </c>
      <c r="F264" s="633" t="s">
        <v>663</v>
      </c>
      <c r="G264" s="633" t="s">
        <v>664</v>
      </c>
      <c r="H264" s="634" t="s">
        <v>699</v>
      </c>
      <c r="I264" s="101">
        <f>VLOOKUP(H264,References!$B$7:$F$249,5,FALSE)</f>
        <v>27</v>
      </c>
    </row>
    <row r="265" spans="1:9" ht="17" thickBot="1" x14ac:dyDescent="0.25">
      <c r="A265" s="130" t="s">
        <v>376</v>
      </c>
      <c r="B265" s="175" t="s">
        <v>377</v>
      </c>
      <c r="C265" s="635"/>
      <c r="D265" s="636"/>
      <c r="E265" s="256"/>
      <c r="F265" s="636"/>
      <c r="G265" s="636"/>
      <c r="H265" s="636"/>
      <c r="I265" s="637"/>
    </row>
    <row r="266" spans="1:9" ht="16" x14ac:dyDescent="0.2">
      <c r="A266" s="829" t="s">
        <v>378</v>
      </c>
      <c r="B266" s="933" t="s">
        <v>379</v>
      </c>
      <c r="C266" s="177" t="s">
        <v>657</v>
      </c>
      <c r="D266" s="650" t="s">
        <v>923</v>
      </c>
      <c r="E266" s="135" t="s">
        <v>667</v>
      </c>
      <c r="F266" s="613" t="s">
        <v>924</v>
      </c>
      <c r="G266" s="613" t="s">
        <v>682</v>
      </c>
      <c r="H266" s="639" t="s">
        <v>536</v>
      </c>
      <c r="I266" s="100">
        <f>VLOOKUP(H266,References!$B$7:$F$249,5,FALSE)</f>
        <v>77</v>
      </c>
    </row>
    <row r="267" spans="1:9" ht="16" x14ac:dyDescent="0.2">
      <c r="A267" s="830"/>
      <c r="B267" s="934"/>
      <c r="C267" s="134" t="s">
        <v>657</v>
      </c>
      <c r="D267" s="632" t="s">
        <v>925</v>
      </c>
      <c r="E267" s="58" t="s">
        <v>30</v>
      </c>
      <c r="F267" s="617" t="s">
        <v>658</v>
      </c>
      <c r="G267" s="617" t="s">
        <v>659</v>
      </c>
      <c r="H267" s="622" t="s">
        <v>384</v>
      </c>
      <c r="I267" s="122">
        <f>VLOOKUP(H267,References!$B$7:$F$249,5,FALSE)</f>
        <v>123</v>
      </c>
    </row>
    <row r="268" spans="1:9" ht="16" x14ac:dyDescent="0.2">
      <c r="A268" s="191" t="s">
        <v>386</v>
      </c>
      <c r="B268" s="142" t="s">
        <v>387</v>
      </c>
      <c r="C268" s="142" t="s">
        <v>657</v>
      </c>
      <c r="D268" s="199" t="s">
        <v>926</v>
      </c>
      <c r="E268" s="131" t="s">
        <v>667</v>
      </c>
      <c r="F268" s="640" t="s">
        <v>924</v>
      </c>
      <c r="G268" s="640" t="s">
        <v>682</v>
      </c>
      <c r="H268" s="644" t="s">
        <v>536</v>
      </c>
      <c r="I268" s="124">
        <f>VLOOKUP(H268,References!$B$7:$F$83,5,FALSE)</f>
        <v>77</v>
      </c>
    </row>
    <row r="269" spans="1:9" ht="16" x14ac:dyDescent="0.2">
      <c r="A269" s="830" t="s">
        <v>395</v>
      </c>
      <c r="B269" s="869" t="s">
        <v>396</v>
      </c>
      <c r="C269" s="134" t="s">
        <v>657</v>
      </c>
      <c r="D269" s="87" t="s">
        <v>927</v>
      </c>
      <c r="E269" s="58" t="s">
        <v>667</v>
      </c>
      <c r="F269" s="617" t="s">
        <v>668</v>
      </c>
      <c r="G269" s="617" t="s">
        <v>682</v>
      </c>
      <c r="H269" s="622" t="s">
        <v>540</v>
      </c>
      <c r="I269" s="100">
        <f>VLOOKUP(H269,References!$B$7:$F$249,5,FALSE)</f>
        <v>76</v>
      </c>
    </row>
    <row r="270" spans="1:9" ht="16" x14ac:dyDescent="0.2">
      <c r="A270" s="830"/>
      <c r="B270" s="869"/>
      <c r="C270" s="134" t="s">
        <v>657</v>
      </c>
      <c r="D270" s="632" t="s">
        <v>779</v>
      </c>
      <c r="E270" s="58" t="s">
        <v>30</v>
      </c>
      <c r="F270" s="617" t="s">
        <v>658</v>
      </c>
      <c r="G270" s="617" t="s">
        <v>659</v>
      </c>
      <c r="H270" s="622" t="s">
        <v>606</v>
      </c>
      <c r="I270" s="100">
        <f>VLOOKUP(H270,References!$B$7:$F$249,5,FALSE)</f>
        <v>135</v>
      </c>
    </row>
    <row r="271" spans="1:9" ht="17" thickBot="1" x14ac:dyDescent="0.25">
      <c r="A271" s="205" t="s">
        <v>406</v>
      </c>
      <c r="B271" s="189" t="s">
        <v>407</v>
      </c>
      <c r="C271" s="189" t="s">
        <v>657</v>
      </c>
      <c r="D271" s="202" t="s">
        <v>928</v>
      </c>
      <c r="E271" s="169" t="s">
        <v>667</v>
      </c>
      <c r="F271" s="660" t="s">
        <v>924</v>
      </c>
      <c r="G271" s="660" t="s">
        <v>682</v>
      </c>
      <c r="H271" s="661" t="s">
        <v>536</v>
      </c>
      <c r="I271" s="100">
        <f>VLOOKUP(H271,References!$B$7:$F$249,5,FALSE)</f>
        <v>77</v>
      </c>
    </row>
    <row r="272" spans="1:9" ht="17" thickBot="1" x14ac:dyDescent="0.25">
      <c r="A272" s="130" t="s">
        <v>415</v>
      </c>
      <c r="B272" s="175" t="s">
        <v>416</v>
      </c>
      <c r="C272" s="635"/>
      <c r="D272" s="636"/>
      <c r="E272" s="256"/>
      <c r="F272" s="636"/>
      <c r="G272" s="636"/>
      <c r="H272" s="636"/>
      <c r="I272" s="637"/>
    </row>
    <row r="273" spans="1:11" s="2" customFormat="1" x14ac:dyDescent="0.2">
      <c r="A273" s="595" t="s">
        <v>417</v>
      </c>
      <c r="B273" s="296" t="s">
        <v>418</v>
      </c>
      <c r="C273" s="466"/>
      <c r="D273" s="297"/>
      <c r="E273" s="596"/>
      <c r="F273" s="425"/>
      <c r="G273" s="596"/>
      <c r="H273" s="425"/>
      <c r="I273" s="426"/>
      <c r="J273" s="30"/>
      <c r="K273" s="30"/>
    </row>
    <row r="274" spans="1:11" ht="16" x14ac:dyDescent="0.2">
      <c r="A274" s="838" t="s">
        <v>423</v>
      </c>
      <c r="B274" s="869" t="s">
        <v>424</v>
      </c>
      <c r="C274" s="149" t="s">
        <v>657</v>
      </c>
      <c r="D274" s="662" t="s">
        <v>929</v>
      </c>
      <c r="E274" s="258" t="s">
        <v>30</v>
      </c>
      <c r="F274" s="617" t="s">
        <v>658</v>
      </c>
      <c r="G274" s="617" t="s">
        <v>659</v>
      </c>
      <c r="H274" s="622" t="s">
        <v>533</v>
      </c>
      <c r="I274" s="100">
        <f>VLOOKUP(H274,References!$B$7:$F$249,5,FALSE)</f>
        <v>40</v>
      </c>
    </row>
    <row r="275" spans="1:11" ht="16" x14ac:dyDescent="0.2">
      <c r="A275" s="838"/>
      <c r="B275" s="869"/>
      <c r="C275" s="149" t="s">
        <v>657</v>
      </c>
      <c r="D275" s="662" t="s">
        <v>930</v>
      </c>
      <c r="E275" s="258" t="s">
        <v>30</v>
      </c>
      <c r="F275" s="617" t="s">
        <v>658</v>
      </c>
      <c r="G275" s="617" t="s">
        <v>659</v>
      </c>
      <c r="H275" s="622" t="s">
        <v>606</v>
      </c>
      <c r="I275" s="100">
        <f>VLOOKUP(H275,References!$B$7:$F$249,5,FALSE)</f>
        <v>135</v>
      </c>
    </row>
    <row r="276" spans="1:11" ht="16" x14ac:dyDescent="0.2">
      <c r="A276" s="838"/>
      <c r="B276" s="869"/>
      <c r="C276" s="149" t="s">
        <v>657</v>
      </c>
      <c r="D276" s="662" t="s">
        <v>931</v>
      </c>
      <c r="E276" s="258" t="s">
        <v>27</v>
      </c>
      <c r="F276" s="617" t="s">
        <v>668</v>
      </c>
      <c r="G276" s="617" t="s">
        <v>33</v>
      </c>
      <c r="H276" s="622" t="s">
        <v>707</v>
      </c>
      <c r="I276" s="100">
        <f>VLOOKUP(H276,References!$B$7:$F$249,5,FALSE)</f>
        <v>3</v>
      </c>
    </row>
    <row r="277" spans="1:11" ht="16" x14ac:dyDescent="0.2">
      <c r="A277" s="839" t="s">
        <v>432</v>
      </c>
      <c r="B277" s="833" t="s">
        <v>433</v>
      </c>
      <c r="C277" s="151" t="s">
        <v>657</v>
      </c>
      <c r="D277" s="663" t="s">
        <v>932</v>
      </c>
      <c r="E277" s="390" t="s">
        <v>667</v>
      </c>
      <c r="F277" s="628" t="s">
        <v>933</v>
      </c>
      <c r="G277" s="628" t="s">
        <v>682</v>
      </c>
      <c r="H277" s="629" t="s">
        <v>934</v>
      </c>
      <c r="I277" s="121">
        <f>VLOOKUP(H277,References!$B$7:$F$249,5,FALSE)</f>
        <v>139</v>
      </c>
    </row>
    <row r="278" spans="1:11" ht="16" x14ac:dyDescent="0.2">
      <c r="A278" s="838"/>
      <c r="B278" s="832"/>
      <c r="C278" s="145" t="s">
        <v>657</v>
      </c>
      <c r="D278" s="662" t="s">
        <v>935</v>
      </c>
      <c r="E278" s="258" t="s">
        <v>667</v>
      </c>
      <c r="F278" s="617" t="s">
        <v>933</v>
      </c>
      <c r="G278" s="617" t="s">
        <v>682</v>
      </c>
      <c r="H278" s="622" t="s">
        <v>934</v>
      </c>
      <c r="I278" s="100">
        <f>VLOOKUP(H278,References!$B$7:$F$249,5,FALSE)</f>
        <v>139</v>
      </c>
    </row>
    <row r="279" spans="1:11" ht="16" x14ac:dyDescent="0.2">
      <c r="A279" s="840"/>
      <c r="B279" s="834"/>
      <c r="C279" s="239" t="s">
        <v>657</v>
      </c>
      <c r="D279" s="662" t="s">
        <v>936</v>
      </c>
      <c r="E279" s="258" t="s">
        <v>667</v>
      </c>
      <c r="F279" s="617" t="s">
        <v>937</v>
      </c>
      <c r="G279" s="617" t="s">
        <v>682</v>
      </c>
      <c r="H279" s="622" t="s">
        <v>934</v>
      </c>
      <c r="I279" s="122">
        <f>VLOOKUP(H279,References!$B$7:$F$249,5,FALSE)</f>
        <v>139</v>
      </c>
    </row>
    <row r="280" spans="1:11" x14ac:dyDescent="0.2">
      <c r="A280" s="143" t="s">
        <v>437</v>
      </c>
      <c r="B280" s="59" t="s">
        <v>438</v>
      </c>
      <c r="C280" s="59"/>
      <c r="D280" s="199"/>
      <c r="E280" s="260"/>
      <c r="F280" s="640"/>
      <c r="G280" s="640"/>
      <c r="H280" s="664"/>
      <c r="I280" s="124"/>
    </row>
    <row r="281" spans="1:11" x14ac:dyDescent="0.2">
      <c r="A281" s="136" t="s">
        <v>444</v>
      </c>
      <c r="B281" s="58" t="s">
        <v>445</v>
      </c>
      <c r="C281" s="147"/>
      <c r="D281" s="632"/>
      <c r="E281" s="258"/>
      <c r="F281" s="617"/>
      <c r="G281" s="617"/>
      <c r="H281" s="665"/>
      <c r="I281" s="124"/>
    </row>
    <row r="282" spans="1:11" ht="17" thickBot="1" x14ac:dyDescent="0.25">
      <c r="A282" s="168" t="s">
        <v>451</v>
      </c>
      <c r="B282" s="189" t="s">
        <v>452</v>
      </c>
      <c r="C282" s="666"/>
      <c r="D282" s="202"/>
      <c r="E282" s="255"/>
      <c r="F282" s="660"/>
      <c r="G282" s="660"/>
      <c r="H282" s="667"/>
      <c r="I282" s="101"/>
    </row>
    <row r="283" spans="1:11" ht="17" thickBot="1" x14ac:dyDescent="0.25">
      <c r="A283" s="130" t="s">
        <v>458</v>
      </c>
      <c r="B283" s="175" t="s">
        <v>459</v>
      </c>
      <c r="C283" s="175"/>
      <c r="D283" s="636"/>
      <c r="E283" s="256"/>
      <c r="F283" s="636"/>
      <c r="G283" s="636"/>
      <c r="H283" s="636"/>
      <c r="I283" s="637"/>
    </row>
    <row r="284" spans="1:11" ht="32" x14ac:dyDescent="0.2">
      <c r="A284" s="206" t="s">
        <v>460</v>
      </c>
      <c r="B284" s="177" t="s">
        <v>461</v>
      </c>
      <c r="C284" s="177" t="s">
        <v>657</v>
      </c>
      <c r="D284" s="657" t="s">
        <v>938</v>
      </c>
      <c r="E284" s="257" t="s">
        <v>30</v>
      </c>
      <c r="F284" s="613" t="s">
        <v>658</v>
      </c>
      <c r="G284" s="613" t="s">
        <v>659</v>
      </c>
      <c r="H284" s="639" t="s">
        <v>606</v>
      </c>
      <c r="I284" s="173">
        <f>VLOOKUP(H284,References!$B$7:$F$249,5,FALSE)</f>
        <v>135</v>
      </c>
    </row>
    <row r="285" spans="1:11" ht="32" x14ac:dyDescent="0.2">
      <c r="A285" s="207" t="s">
        <v>464</v>
      </c>
      <c r="B285" s="152" t="s">
        <v>465</v>
      </c>
      <c r="C285" s="152" t="s">
        <v>657</v>
      </c>
      <c r="D285" s="199" t="s">
        <v>939</v>
      </c>
      <c r="E285" s="260" t="s">
        <v>30</v>
      </c>
      <c r="F285" s="640" t="s">
        <v>658</v>
      </c>
      <c r="G285" s="640" t="s">
        <v>659</v>
      </c>
      <c r="H285" s="644" t="s">
        <v>606</v>
      </c>
      <c r="I285" s="124">
        <f>VLOOKUP(H285,References!$B$7:$F$249,5,FALSE)</f>
        <v>135</v>
      </c>
    </row>
    <row r="286" spans="1:11" ht="17" thickBot="1" x14ac:dyDescent="0.25">
      <c r="A286" s="137" t="s">
        <v>468</v>
      </c>
      <c r="B286" s="140" t="s">
        <v>469</v>
      </c>
      <c r="C286" s="140"/>
      <c r="D286" s="209"/>
      <c r="E286" s="261"/>
      <c r="F286" s="633"/>
      <c r="G286" s="633"/>
      <c r="H286" s="633"/>
      <c r="I286" s="100"/>
    </row>
    <row r="287" spans="1:11" ht="16" thickBot="1" x14ac:dyDescent="0.25">
      <c r="A287" s="130" t="s">
        <v>475</v>
      </c>
      <c r="B287" s="636"/>
      <c r="C287" s="636"/>
      <c r="D287" s="636"/>
      <c r="E287" s="256"/>
      <c r="F287" s="636"/>
      <c r="G287" s="636"/>
      <c r="H287" s="636"/>
      <c r="I287" s="637"/>
    </row>
    <row r="288" spans="1:11" ht="17" thickBot="1" x14ac:dyDescent="0.25">
      <c r="A288" s="208" t="s">
        <v>476</v>
      </c>
      <c r="B288" s="179" t="s">
        <v>477</v>
      </c>
      <c r="C288" s="179" t="s">
        <v>657</v>
      </c>
      <c r="D288" s="668" t="s">
        <v>940</v>
      </c>
      <c r="E288" s="262" t="s">
        <v>30</v>
      </c>
      <c r="F288" s="669" t="s">
        <v>658</v>
      </c>
      <c r="G288" s="669" t="s">
        <v>659</v>
      </c>
      <c r="H288" s="670" t="s">
        <v>533</v>
      </c>
      <c r="I288" s="102">
        <f>VLOOKUP(H288,References!$B$7:$F$249,5,FALSE)</f>
        <v>40</v>
      </c>
    </row>
    <row r="289" spans="1:39" s="2" customFormat="1" ht="16" thickBot="1" x14ac:dyDescent="0.25">
      <c r="A289" s="237" t="s">
        <v>481</v>
      </c>
      <c r="B289" s="129"/>
      <c r="C289" s="128"/>
      <c r="D289" s="79"/>
      <c r="E289" s="79"/>
      <c r="F289" s="79"/>
      <c r="G289" s="79"/>
      <c r="H289" s="79"/>
      <c r="I289" s="80"/>
      <c r="J289" s="3"/>
    </row>
    <row r="290" spans="1:39" s="2" customFormat="1" ht="18.75" customHeight="1" thickBot="1" x14ac:dyDescent="0.25">
      <c r="A290" s="606" t="s">
        <v>482</v>
      </c>
      <c r="B290" s="607" t="s">
        <v>483</v>
      </c>
      <c r="C290" s="491"/>
      <c r="D290" s="609"/>
      <c r="E290" s="609"/>
      <c r="F290" s="609"/>
      <c r="G290" s="491"/>
      <c r="H290" s="610"/>
      <c r="I290" s="102"/>
      <c r="J290" s="3"/>
    </row>
    <row r="291" spans="1:39" x14ac:dyDescent="0.2">
      <c r="A291" s="8"/>
      <c r="B291" s="5"/>
      <c r="C291" s="5"/>
    </row>
    <row r="292" spans="1:39" ht="16" x14ac:dyDescent="0.2">
      <c r="A292" s="66" t="s">
        <v>487</v>
      </c>
    </row>
    <row r="293" spans="1:39" s="2" customFormat="1" ht="46.25" customHeight="1" x14ac:dyDescent="0.2">
      <c r="A293" s="894" t="s">
        <v>488</v>
      </c>
      <c r="B293" s="894"/>
      <c r="C293" s="894"/>
      <c r="D293" s="894"/>
      <c r="E293" s="894"/>
      <c r="F293" s="894"/>
      <c r="G293" s="894"/>
      <c r="H293" s="894"/>
      <c r="I293" s="894"/>
      <c r="R293" s="3"/>
    </row>
    <row r="294" spans="1:39" x14ac:dyDescent="0.2">
      <c r="A294" s="2" t="s">
        <v>489</v>
      </c>
    </row>
    <row r="295" spans="1:39" ht="17" x14ac:dyDescent="0.25">
      <c r="A295" s="2" t="s">
        <v>941</v>
      </c>
      <c r="D295" s="264"/>
    </row>
    <row r="296" spans="1:39" x14ac:dyDescent="0.2">
      <c r="A296" s="2" t="s">
        <v>490</v>
      </c>
    </row>
    <row r="297" spans="1:39" s="5" customFormat="1" x14ac:dyDescent="0.2">
      <c r="A297" s="10" t="s">
        <v>647</v>
      </c>
      <c r="B297" s="3"/>
      <c r="C297" s="3"/>
      <c r="D297" s="20"/>
      <c r="E297" s="6"/>
      <c r="F297" s="6"/>
      <c r="G297" s="6"/>
      <c r="H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row>
    <row r="299" spans="1:39" ht="16" x14ac:dyDescent="0.2">
      <c r="A299" s="66" t="s">
        <v>492</v>
      </c>
    </row>
    <row r="300" spans="1:39" ht="16" x14ac:dyDescent="0.2">
      <c r="A300" s="66" t="s">
        <v>942</v>
      </c>
    </row>
    <row r="301" spans="1:39" ht="16" x14ac:dyDescent="0.2">
      <c r="A301" s="66" t="s">
        <v>943</v>
      </c>
    </row>
    <row r="302" spans="1:39" ht="16" x14ac:dyDescent="0.2">
      <c r="A302" s="66" t="s">
        <v>493</v>
      </c>
    </row>
    <row r="303" spans="1:39" ht="16" x14ac:dyDescent="0.2">
      <c r="A303" s="66" t="s">
        <v>944</v>
      </c>
    </row>
    <row r="304" spans="1:39" x14ac:dyDescent="0.2">
      <c r="A304" s="66"/>
    </row>
    <row r="305" spans="1:1" x14ac:dyDescent="0.2">
      <c r="A305" s="66"/>
    </row>
    <row r="307" spans="1:1" x14ac:dyDescent="0.2">
      <c r="A307" s="66"/>
    </row>
    <row r="308" spans="1:1" x14ac:dyDescent="0.2">
      <c r="A308" s="66"/>
    </row>
    <row r="309" spans="1:1" x14ac:dyDescent="0.2">
      <c r="A309" s="66"/>
    </row>
    <row r="310" spans="1:1" x14ac:dyDescent="0.2">
      <c r="A310" s="66"/>
    </row>
    <row r="311" spans="1:1" x14ac:dyDescent="0.2">
      <c r="A311" s="11"/>
    </row>
    <row r="312" spans="1:1" x14ac:dyDescent="0.2">
      <c r="A312" s="66"/>
    </row>
    <row r="321" spans="8:10" x14ac:dyDescent="0.2">
      <c r="H321" s="270"/>
      <c r="J321" s="270"/>
    </row>
    <row r="322" spans="8:10" x14ac:dyDescent="0.2">
      <c r="H322" s="270"/>
      <c r="J322" s="270"/>
    </row>
    <row r="323" spans="8:10" x14ac:dyDescent="0.2">
      <c r="H323" s="270"/>
      <c r="J323" s="270"/>
    </row>
    <row r="324" spans="8:10" x14ac:dyDescent="0.2">
      <c r="H324" s="270"/>
      <c r="J324" s="270"/>
    </row>
    <row r="325" spans="8:10" x14ac:dyDescent="0.2">
      <c r="H325" s="270"/>
      <c r="J325" s="270"/>
    </row>
    <row r="326" spans="8:10" x14ac:dyDescent="0.2">
      <c r="H326" s="270"/>
      <c r="J326" s="270"/>
    </row>
    <row r="327" spans="8:10" x14ac:dyDescent="0.2">
      <c r="H327" s="270"/>
      <c r="J327" s="270"/>
    </row>
    <row r="328" spans="8:10" x14ac:dyDescent="0.2">
      <c r="H328" s="270"/>
      <c r="J328" s="270"/>
    </row>
  </sheetData>
  <sheetProtection algorithmName="SHA-512" hashValue="+g84YTOaUE7XIvKMmTTFSALC02iYryu6k6eW5EJjd7jX4xqn9KSjxsLxpynH7fyhGVQ3urinLf0nVCnd5whE2w==" saltValue="cEV4V2iMjFs14ZB5bu94hQ==" spinCount="100000" sheet="1" objects="1" scenarios="1"/>
  <autoFilter ref="A6:I288" xr:uid="{400D3E0C-ACF7-40A5-976D-543AF8C8CFD4}"/>
  <mergeCells count="54">
    <mergeCell ref="A8:A10"/>
    <mergeCell ref="B8:B10"/>
    <mergeCell ref="A293:I293"/>
    <mergeCell ref="A266:A267"/>
    <mergeCell ref="B266:B267"/>
    <mergeCell ref="A229:A230"/>
    <mergeCell ref="B229:B230"/>
    <mergeCell ref="A235:A245"/>
    <mergeCell ref="B257:B259"/>
    <mergeCell ref="A257:A259"/>
    <mergeCell ref="A260:A264"/>
    <mergeCell ref="B260:B264"/>
    <mergeCell ref="A277:A279"/>
    <mergeCell ref="B277:B279"/>
    <mergeCell ref="B38:B52"/>
    <mergeCell ref="A38:A52"/>
    <mergeCell ref="A2:I2"/>
    <mergeCell ref="B223:B228"/>
    <mergeCell ref="A223:A228"/>
    <mergeCell ref="B137:B138"/>
    <mergeCell ref="A137:A138"/>
    <mergeCell ref="B155:B170"/>
    <mergeCell ref="A155:A170"/>
    <mergeCell ref="B145:B153"/>
    <mergeCell ref="A145:A153"/>
    <mergeCell ref="B171:B174"/>
    <mergeCell ref="A171:A174"/>
    <mergeCell ref="B175:B205"/>
    <mergeCell ref="A175:A205"/>
    <mergeCell ref="A139:A140"/>
    <mergeCell ref="B139:B140"/>
    <mergeCell ref="A207:A209"/>
    <mergeCell ref="B53:B78"/>
    <mergeCell ref="A53:A78"/>
    <mergeCell ref="A12:A17"/>
    <mergeCell ref="B12:B17"/>
    <mergeCell ref="A18:A24"/>
    <mergeCell ref="B18:B24"/>
    <mergeCell ref="B25:B37"/>
    <mergeCell ref="A25:A37"/>
    <mergeCell ref="B129:B136"/>
    <mergeCell ref="A129:A136"/>
    <mergeCell ref="B79:B96"/>
    <mergeCell ref="A79:A96"/>
    <mergeCell ref="B97:B113"/>
    <mergeCell ref="A97:A113"/>
    <mergeCell ref="B114:B128"/>
    <mergeCell ref="A114:A128"/>
    <mergeCell ref="B207:B209"/>
    <mergeCell ref="B269:B270"/>
    <mergeCell ref="A269:A270"/>
    <mergeCell ref="B274:B276"/>
    <mergeCell ref="A274:A276"/>
    <mergeCell ref="B235:B245"/>
  </mergeCells>
  <conditionalFormatting sqref="C213:D214">
    <cfRule type="cellIs" dxfId="119" priority="13" operator="between">
      <formula>0.01</formula>
      <formula>1</formula>
    </cfRule>
    <cfRule type="cellIs" dxfId="118" priority="14" operator="between">
      <formula>1</formula>
      <formula>10</formula>
    </cfRule>
    <cfRule type="cellIs" dxfId="117" priority="15" operator="between">
      <formula>10</formula>
      <formula>100000</formula>
    </cfRule>
    <cfRule type="cellIs" dxfId="116" priority="16" operator="greaterThanOrEqual">
      <formula>100000</formula>
    </cfRule>
    <cfRule type="cellIs" dxfId="115" priority="17" operator="lessThanOrEqual">
      <formula>0.01</formula>
    </cfRule>
  </conditionalFormatting>
  <conditionalFormatting sqref="D290:F290">
    <cfRule type="cellIs" dxfId="114" priority="45" operator="lessThanOrEqual">
      <formula>0.01</formula>
    </cfRule>
    <cfRule type="cellIs" dxfId="113" priority="44" operator="greaterThanOrEqual">
      <formula>100000</formula>
    </cfRule>
    <cfRule type="cellIs" dxfId="112" priority="43" operator="between">
      <formula>10</formula>
      <formula>100000</formula>
    </cfRule>
    <cfRule type="cellIs" dxfId="111" priority="42" operator="between">
      <formula>1</formula>
      <formula>10</formula>
    </cfRule>
    <cfRule type="cellIs" dxfId="110" priority="41" operator="between">
      <formula>0.01</formula>
      <formula>1</formula>
    </cfRule>
  </conditionalFormatting>
  <conditionalFormatting sqref="E142:E144 G142:G144">
    <cfRule type="cellIs" dxfId="109" priority="58" operator="between">
      <formula>1</formula>
      <formula>10</formula>
    </cfRule>
    <cfRule type="cellIs" dxfId="108" priority="61" operator="lessThanOrEqual">
      <formula>0.01</formula>
    </cfRule>
    <cfRule type="cellIs" dxfId="107" priority="57" operator="between">
      <formula>0.01</formula>
      <formula>1</formula>
    </cfRule>
    <cfRule type="cellIs" dxfId="106" priority="60" operator="greaterThanOrEqual">
      <formula>100000</formula>
    </cfRule>
    <cfRule type="cellIs" dxfId="105" priority="59" operator="between">
      <formula>10</formula>
      <formula>100000</formula>
    </cfRule>
  </conditionalFormatting>
  <conditionalFormatting sqref="E273 G273">
    <cfRule type="cellIs" dxfId="104" priority="52" operator="between">
      <formula>0.01</formula>
      <formula>1</formula>
    </cfRule>
    <cfRule type="cellIs" dxfId="103" priority="56" operator="lessThanOrEqual">
      <formula>0.01</formula>
    </cfRule>
    <cfRule type="cellIs" dxfId="102" priority="55" operator="greaterThanOrEqual">
      <formula>100000</formula>
    </cfRule>
    <cfRule type="cellIs" dxfId="101" priority="54" operator="between">
      <formula>10</formula>
      <formula>100000</formula>
    </cfRule>
    <cfRule type="cellIs" dxfId="100" priority="53" operator="between">
      <formula>1</formula>
      <formula>10</formula>
    </cfRule>
  </conditionalFormatting>
  <conditionalFormatting sqref="F213:F214">
    <cfRule type="cellIs" dxfId="99" priority="12" operator="lessThanOrEqual">
      <formula>0.01</formula>
    </cfRule>
    <cfRule type="cellIs" dxfId="98" priority="11" operator="greaterThanOrEqual">
      <formula>100000</formula>
    </cfRule>
    <cfRule type="cellIs" dxfId="97" priority="10" operator="between">
      <formula>10</formula>
      <formula>100000</formula>
    </cfRule>
    <cfRule type="cellIs" dxfId="96" priority="9" operator="between">
      <formula>1</formula>
      <formula>10</formula>
    </cfRule>
    <cfRule type="cellIs" dxfId="95" priority="8" operator="between">
      <formula>0.01</formula>
      <formula>1</formula>
    </cfRule>
  </conditionalFormatting>
  <conditionalFormatting sqref="F217">
    <cfRule type="cellIs" dxfId="94" priority="25" operator="between">
      <formula>0.01</formula>
      <formula>1</formula>
    </cfRule>
    <cfRule type="cellIs" dxfId="93" priority="26" operator="between">
      <formula>1</formula>
      <formula>10</formula>
    </cfRule>
    <cfRule type="cellIs" dxfId="92" priority="27" operator="between">
      <formula>10</formula>
      <formula>100000</formula>
    </cfRule>
    <cfRule type="cellIs" dxfId="91" priority="28" operator="greaterThanOrEqual">
      <formula>100000</formula>
    </cfRule>
    <cfRule type="cellIs" dxfId="90" priority="29" operator="lessThanOrEqual">
      <formula>0.01</formula>
    </cfRule>
  </conditionalFormatting>
  <conditionalFormatting sqref="K218:K220 M218:M220">
    <cfRule type="cellIs" dxfId="80" priority="23" operator="lessThanOrEqual">
      <formula>0.01</formula>
    </cfRule>
    <cfRule type="cellIs" dxfId="79" priority="22" operator="greaterThanOrEqual">
      <formula>100000</formula>
    </cfRule>
    <cfRule type="cellIs" dxfId="78" priority="21" operator="between">
      <formula>10</formula>
      <formula>100000</formula>
    </cfRule>
    <cfRule type="cellIs" dxfId="77" priority="20" operator="between">
      <formula>1</formula>
      <formula>10</formula>
    </cfRule>
    <cfRule type="cellIs" dxfId="76" priority="19" operator="between">
      <formula>0.01</formula>
      <formula>1</formula>
    </cfRule>
  </conditionalFormatting>
  <pageMargins left="1.25" right="1.25" top="1" bottom="0.74583333333333302" header="0.25" footer="0.25"/>
  <pageSetup scale="13" orientation="landscape" verticalDpi="1200" r:id="rId1"/>
  <headerFooter>
    <oddHeader>&amp;R&amp;"Helvetica,Regular"&amp;K000000&amp;D</oddHeader>
    <oddFooter>&amp;C&amp;"Helvetica,Regular"&amp;12&amp;K000000&amp;F</oddFooter>
  </headerFooter>
  <extLst>
    <ext xmlns:x14="http://schemas.microsoft.com/office/spreadsheetml/2009/9/main" uri="{78C0D931-6437-407d-A8EE-F0AAD7539E65}">
      <x14:conditionalFormattings>
        <x14:conditionalFormatting xmlns:xm="http://schemas.microsoft.com/office/excel/2006/main">
          <x14:cfRule type="expression" priority="4" id="{E0784137-C800-4C7E-BA1F-5B300EE0AA05}">
            <xm:f>(VLOOKUP(H8,References!$B$8:$C$252,2,FALSE)="Secondary")</xm:f>
            <x14:dxf>
              <font>
                <strike val="0"/>
              </font>
              <fill>
                <patternFill>
                  <bgColor rgb="FFFFC000"/>
                </patternFill>
              </fill>
            </x14:dxf>
          </x14:cfRule>
          <xm:sqref>I8:I10 I252:I254 I256:I264 I266:I271 I274:I282 I284:I286</xm:sqref>
        </x14:conditionalFormatting>
        <x14:conditionalFormatting xmlns:xm="http://schemas.microsoft.com/office/excel/2006/main">
          <x14:cfRule type="expression" priority="74" id="{AF113A6B-E180-4B15-8A58-D4E3AE394B53}">
            <xm:f>(VLOOKUP(H12,References!$B$8:$C$252,2,FALSE)="Secondary")</xm:f>
            <x14:dxf>
              <font>
                <strike val="0"/>
              </font>
              <fill>
                <patternFill>
                  <bgColor rgb="FFFFC000"/>
                </patternFill>
              </fill>
            </x14:dxf>
          </x14:cfRule>
          <xm:sqref>I12:I140</xm:sqref>
        </x14:conditionalFormatting>
        <x14:conditionalFormatting xmlns:xm="http://schemas.microsoft.com/office/excel/2006/main">
          <x14:cfRule type="expression" priority="7" id="{8162EDE0-2B6F-4D40-8900-EB6F3D07B158}">
            <xm:f>(VLOOKUP(H145,References!$B$8:$C$252,2,FALSE)="Secondary")</xm:f>
            <x14:dxf>
              <font>
                <strike val="0"/>
              </font>
              <fill>
                <patternFill>
                  <bgColor rgb="FFFFC000"/>
                </patternFill>
              </fill>
            </x14:dxf>
          </x14:cfRule>
          <xm:sqref>I145:I210</xm:sqref>
        </x14:conditionalFormatting>
        <x14:conditionalFormatting xmlns:xm="http://schemas.microsoft.com/office/excel/2006/main">
          <x14:cfRule type="expression" priority="18" id="{4CA2BBC4-CD26-4E79-82B7-0D03993AF709}">
            <xm:f>(VLOOKUP(H213,References!$B$8:$C$252,2,FALSE)="Secondary")</xm:f>
            <x14:dxf>
              <font>
                <strike val="0"/>
              </font>
              <fill>
                <patternFill>
                  <bgColor rgb="FFFFC000"/>
                </patternFill>
              </fill>
            </x14:dxf>
          </x14:cfRule>
          <xm:sqref>I213:I217</xm:sqref>
        </x14:conditionalFormatting>
        <x14:conditionalFormatting xmlns:xm="http://schemas.microsoft.com/office/excel/2006/main">
          <x14:cfRule type="expression" priority="62" id="{88FDCEC6-9D65-4A7D-B742-E454BDC782C0}">
            <xm:f>(VLOOKUP(H222,References!$B$8:$C$252,2,FALSE)="Secondary")</xm:f>
            <x14:dxf>
              <font>
                <strike val="0"/>
              </font>
              <fill>
                <patternFill>
                  <bgColor rgb="FFFFC000"/>
                </patternFill>
              </fill>
            </x14:dxf>
          </x14:cfRule>
          <xm:sqref>I222:I231</xm:sqref>
        </x14:conditionalFormatting>
        <x14:conditionalFormatting xmlns:xm="http://schemas.microsoft.com/office/excel/2006/main">
          <x14:cfRule type="expression" priority="64" id="{E3A9C70A-DC08-464E-BE43-3E584511AF99}">
            <xm:f>(VLOOKUP(H235,References!$B$8:$C$252,2,FALSE)="Secondary")</xm:f>
            <x14:dxf>
              <font>
                <strike val="0"/>
              </font>
              <fill>
                <patternFill>
                  <bgColor rgb="FFFFC000"/>
                </patternFill>
              </fill>
            </x14:dxf>
          </x14:cfRule>
          <xm:sqref>I235:I249</xm:sqref>
        </x14:conditionalFormatting>
        <x14:conditionalFormatting xmlns:xm="http://schemas.microsoft.com/office/excel/2006/main">
          <x14:cfRule type="expression" priority="3" id="{63CE9088-B20B-4342-99E8-D1FAEF8D6E81}">
            <xm:f>(VLOOKUP(#REF!,References!$B$8:$C$252,2,FALSE)="Secondary")</xm:f>
            <x14:dxf>
              <font>
                <strike val="0"/>
              </font>
              <fill>
                <patternFill>
                  <bgColor rgb="FFFFC000"/>
                </patternFill>
              </fill>
            </x14:dxf>
          </x14:cfRule>
          <xm:sqref>I251</xm:sqref>
        </x14:conditionalFormatting>
        <x14:conditionalFormatting xmlns:xm="http://schemas.microsoft.com/office/excel/2006/main">
          <x14:cfRule type="expression" priority="68" id="{1E44742E-D09B-4E84-AFA8-9AF6BF4C6896}">
            <xm:f>(VLOOKUP(H288,References!$B$8:$C$252,2,FALSE)="Secondary")</xm:f>
            <x14:dxf>
              <font>
                <strike val="0"/>
              </font>
              <fill>
                <patternFill>
                  <bgColor rgb="FFFFC000"/>
                </patternFill>
              </fill>
            </x14:dxf>
          </x14:cfRule>
          <xm:sqref>I288</xm:sqref>
        </x14:conditionalFormatting>
        <x14:conditionalFormatting xmlns:xm="http://schemas.microsoft.com/office/excel/2006/main">
          <x14:cfRule type="expression" priority="51" id="{3C4A8688-4870-402A-8AD5-8554A4D7455D}">
            <xm:f>(VLOOKUP(H290,References!$B$8:$C$252,2,FALSE)="Secondary")</xm:f>
            <x14:dxf>
              <font>
                <strike val="0"/>
              </font>
              <fill>
                <patternFill>
                  <bgColor rgb="FFFFC000"/>
                </patternFill>
              </fill>
            </x14:dxf>
          </x14:cfRule>
          <xm:sqref>I290</xm:sqref>
        </x14:conditionalFormatting>
        <x14:conditionalFormatting xmlns:xm="http://schemas.microsoft.com/office/excel/2006/main">
          <x14:cfRule type="expression" priority="24" id="{E430DF54-819D-4ABF-A983-C81F92808FF0}">
            <xm:f>(VLOOKUP(P218,References!$B$8:$C$252,2,FALSE)="Secondary")</xm:f>
            <x14:dxf>
              <font>
                <strike val="0"/>
              </font>
              <fill>
                <patternFill>
                  <bgColor rgb="FFFFC000"/>
                </patternFill>
              </fill>
            </x14:dxf>
          </x14:cfRule>
          <xm:sqref>Q218:Q220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8ADD5-0225-496D-AA3C-6C29A7B37FE8}">
  <sheetPr codeName="Sheet7">
    <tabColor rgb="FF92D050"/>
  </sheetPr>
  <dimension ref="A1:Y207"/>
  <sheetViews>
    <sheetView zoomScale="110" zoomScaleNormal="110" workbookViewId="0">
      <pane ySplit="6" topLeftCell="A7" activePane="bottomLeft" state="frozen"/>
      <selection pane="bottomLeft" activeCell="A3" sqref="A3"/>
    </sheetView>
  </sheetViews>
  <sheetFormatPr baseColWidth="10" defaultColWidth="13.1640625" defaultRowHeight="16" x14ac:dyDescent="0.2"/>
  <cols>
    <col min="1" max="1" width="47.1640625" customWidth="1"/>
    <col min="2" max="2" width="13.1640625" style="62"/>
    <col min="3" max="3" width="12.1640625" customWidth="1"/>
    <col min="4" max="4" width="11.5" customWidth="1"/>
    <col min="5" max="5" width="13.1640625" style="62" customWidth="1"/>
    <col min="6" max="6" width="13.1640625" customWidth="1"/>
    <col min="7" max="7" width="12.6640625" style="69" customWidth="1"/>
    <col min="8" max="8" width="8.1640625" style="62" customWidth="1"/>
    <col min="9" max="9" width="7.6640625" style="62" customWidth="1"/>
    <col min="10" max="10" width="31.6640625" style="63" hidden="1" customWidth="1"/>
  </cols>
  <sheetData>
    <row r="1" spans="1:25" ht="21" x14ac:dyDescent="0.25">
      <c r="A1" s="4" t="s">
        <v>6</v>
      </c>
      <c r="B1" s="5"/>
      <c r="C1" s="6"/>
      <c r="D1" s="6"/>
      <c r="E1" s="5"/>
      <c r="F1" s="5"/>
      <c r="G1" s="5"/>
      <c r="H1" s="5"/>
      <c r="I1" s="5"/>
      <c r="J1" s="5"/>
      <c r="K1" s="5"/>
      <c r="L1" s="5"/>
      <c r="M1" s="5"/>
      <c r="N1" s="5"/>
      <c r="O1" s="5"/>
      <c r="P1" s="5"/>
      <c r="Q1" s="5"/>
      <c r="R1" s="5"/>
      <c r="S1" s="5"/>
      <c r="T1" s="8"/>
      <c r="Y1" s="5"/>
    </row>
    <row r="2" spans="1:25" ht="27.75" customHeight="1" x14ac:dyDescent="0.25">
      <c r="A2" s="935" t="s">
        <v>945</v>
      </c>
      <c r="B2" s="935"/>
      <c r="C2" s="935"/>
      <c r="D2" s="935"/>
      <c r="E2" s="935"/>
      <c r="F2" s="935"/>
      <c r="G2" s="935"/>
      <c r="H2" s="935"/>
      <c r="I2" s="935"/>
      <c r="J2" s="935"/>
      <c r="K2" s="935"/>
      <c r="L2" s="528"/>
      <c r="M2" s="528"/>
      <c r="N2" s="528"/>
      <c r="O2" s="528"/>
      <c r="P2" s="528"/>
      <c r="Q2" s="528"/>
      <c r="R2" s="528"/>
      <c r="S2" s="528"/>
      <c r="T2" s="528"/>
      <c r="U2" s="528"/>
      <c r="V2" s="528"/>
      <c r="W2" s="528"/>
      <c r="Y2" s="61"/>
    </row>
    <row r="3" spans="1:25" x14ac:dyDescent="0.2">
      <c r="A3" s="13"/>
      <c r="B3" s="3"/>
      <c r="C3" s="2"/>
      <c r="D3" s="2"/>
      <c r="E3" s="3"/>
      <c r="F3" s="3"/>
      <c r="G3" s="3"/>
      <c r="H3" s="3"/>
      <c r="I3" s="3"/>
      <c r="J3" s="3"/>
      <c r="K3" s="3"/>
      <c r="L3" s="3"/>
      <c r="M3" s="3"/>
      <c r="N3" s="3"/>
      <c r="O3" s="3"/>
      <c r="P3" s="3"/>
      <c r="Q3" s="3"/>
      <c r="R3" s="3"/>
      <c r="S3" s="3"/>
      <c r="T3" s="10"/>
      <c r="Y3" s="62"/>
    </row>
    <row r="4" spans="1:25" x14ac:dyDescent="0.2">
      <c r="A4" s="13"/>
      <c r="B4" s="3"/>
      <c r="C4" s="2"/>
      <c r="D4" s="2"/>
      <c r="E4" s="3"/>
      <c r="F4" s="3"/>
      <c r="G4" s="3"/>
      <c r="H4" s="3"/>
      <c r="I4" s="3"/>
      <c r="J4" s="3"/>
      <c r="K4" s="3"/>
      <c r="L4" s="3"/>
      <c r="M4" s="3"/>
      <c r="N4" s="3"/>
      <c r="O4" s="3"/>
      <c r="P4" s="3"/>
      <c r="Q4" s="3"/>
      <c r="R4" s="3"/>
      <c r="S4" s="3"/>
      <c r="T4" s="10"/>
      <c r="Y4" s="62"/>
    </row>
    <row r="5" spans="1:25" ht="15.75" customHeight="1" thickBot="1" x14ac:dyDescent="0.3">
      <c r="A5" s="113" t="s">
        <v>946</v>
      </c>
      <c r="G5"/>
      <c r="H5"/>
      <c r="I5"/>
      <c r="J5"/>
    </row>
    <row r="6" spans="1:25" s="70" customFormat="1" ht="61" thickBot="1" x14ac:dyDescent="0.3">
      <c r="A6" s="88" t="s">
        <v>9</v>
      </c>
      <c r="B6" s="89" t="s">
        <v>10</v>
      </c>
      <c r="C6" s="89" t="s">
        <v>497</v>
      </c>
      <c r="D6" s="89" t="s">
        <v>13</v>
      </c>
      <c r="E6" s="89" t="s">
        <v>10</v>
      </c>
      <c r="F6" s="89" t="s">
        <v>13</v>
      </c>
      <c r="G6" s="89" t="s">
        <v>17</v>
      </c>
      <c r="H6" s="89" t="s">
        <v>492</v>
      </c>
      <c r="I6" s="89" t="s">
        <v>504</v>
      </c>
      <c r="J6" s="89" t="s">
        <v>655</v>
      </c>
      <c r="K6" s="90" t="s">
        <v>636</v>
      </c>
    </row>
    <row r="7" spans="1:25" ht="16.5" customHeight="1" thickBot="1" x14ac:dyDescent="0.25">
      <c r="A7" s="443" t="s">
        <v>22</v>
      </c>
      <c r="B7" s="175" t="s">
        <v>23</v>
      </c>
      <c r="C7" s="79"/>
      <c r="D7" s="79"/>
      <c r="E7" s="79"/>
      <c r="F7" s="79"/>
      <c r="G7" s="79"/>
      <c r="H7" s="79"/>
      <c r="I7" s="79"/>
      <c r="J7" s="128"/>
      <c r="K7" s="80"/>
    </row>
    <row r="8" spans="1:25" x14ac:dyDescent="0.2">
      <c r="A8" s="932" t="s">
        <v>24</v>
      </c>
      <c r="B8" s="920" t="s">
        <v>25</v>
      </c>
      <c r="C8" s="920">
        <v>114.02</v>
      </c>
      <c r="D8" s="920" t="s">
        <v>26</v>
      </c>
      <c r="E8" s="611" t="s">
        <v>25</v>
      </c>
      <c r="F8" s="611" t="s">
        <v>26</v>
      </c>
      <c r="G8" s="798">
        <v>0.72</v>
      </c>
      <c r="H8" s="611" t="s">
        <v>515</v>
      </c>
      <c r="I8" s="611" t="s">
        <v>33</v>
      </c>
      <c r="J8" s="614" t="s">
        <v>511</v>
      </c>
      <c r="K8" s="99">
        <f>VLOOKUP(J8,References!$B$7:$F$252,5,FALSE)</f>
        <v>36</v>
      </c>
      <c r="L8" s="66"/>
      <c r="M8" s="66"/>
    </row>
    <row r="9" spans="1:25" x14ac:dyDescent="0.2">
      <c r="A9" s="884"/>
      <c r="B9" s="886"/>
      <c r="C9" s="886"/>
      <c r="D9" s="886"/>
      <c r="E9" s="615" t="s">
        <v>25</v>
      </c>
      <c r="F9" s="615" t="s">
        <v>26</v>
      </c>
      <c r="G9" s="672">
        <v>0.23</v>
      </c>
      <c r="H9" s="615" t="s">
        <v>33</v>
      </c>
      <c r="I9" s="615" t="s">
        <v>33</v>
      </c>
      <c r="J9" s="27" t="s">
        <v>566</v>
      </c>
      <c r="K9" s="100">
        <f>VLOOKUP(J9,References!$B$7:$F$252,5,FALSE)</f>
        <v>116</v>
      </c>
      <c r="L9" s="66"/>
      <c r="M9" s="66"/>
    </row>
    <row r="10" spans="1:25" x14ac:dyDescent="0.2">
      <c r="A10" s="884"/>
      <c r="B10" s="886"/>
      <c r="C10" s="886"/>
      <c r="D10" s="886"/>
      <c r="E10" s="615" t="s">
        <v>25</v>
      </c>
      <c r="F10" s="615" t="s">
        <v>26</v>
      </c>
      <c r="G10" s="672">
        <v>0.3</v>
      </c>
      <c r="H10" s="615" t="s">
        <v>27</v>
      </c>
      <c r="I10" s="615" t="s">
        <v>33</v>
      </c>
      <c r="J10" s="27" t="s">
        <v>947</v>
      </c>
      <c r="K10" s="100">
        <f>VLOOKUP(J10,References!$B$7:$F$252,5,FALSE)</f>
        <v>48</v>
      </c>
      <c r="L10" s="494"/>
      <c r="M10" s="66"/>
    </row>
    <row r="11" spans="1:25" x14ac:dyDescent="0.2">
      <c r="A11" s="884"/>
      <c r="B11" s="886"/>
      <c r="C11" s="886"/>
      <c r="D11" s="886"/>
      <c r="E11" s="615" t="s">
        <v>25</v>
      </c>
      <c r="F11" s="615" t="s">
        <v>26</v>
      </c>
      <c r="G11" s="672">
        <v>1.35</v>
      </c>
      <c r="H11" s="615" t="s">
        <v>571</v>
      </c>
      <c r="I11" s="615" t="s">
        <v>33</v>
      </c>
      <c r="J11" s="27" t="s">
        <v>948</v>
      </c>
      <c r="K11" s="100">
        <f>VLOOKUP(J11,References!$B$7:$F$252,5,FALSE)</f>
        <v>42</v>
      </c>
      <c r="L11" s="494"/>
      <c r="M11" s="66"/>
    </row>
    <row r="12" spans="1:25" x14ac:dyDescent="0.2">
      <c r="A12" s="884"/>
      <c r="B12" s="886"/>
      <c r="C12" s="886"/>
      <c r="D12" s="886"/>
      <c r="E12" s="615" t="s">
        <v>25</v>
      </c>
      <c r="F12" s="615" t="s">
        <v>26</v>
      </c>
      <c r="G12" s="672">
        <v>0.9</v>
      </c>
      <c r="H12" s="615" t="s">
        <v>522</v>
      </c>
      <c r="I12" s="615" t="s">
        <v>33</v>
      </c>
      <c r="J12" s="27" t="s">
        <v>948</v>
      </c>
      <c r="K12" s="100">
        <f>VLOOKUP(J12,References!$B$7:$F$252,5,FALSE)</f>
        <v>42</v>
      </c>
      <c r="L12" s="494"/>
      <c r="M12" s="66"/>
    </row>
    <row r="13" spans="1:25" x14ac:dyDescent="0.2">
      <c r="A13" s="885"/>
      <c r="B13" s="887"/>
      <c r="C13" s="887"/>
      <c r="D13" s="887"/>
      <c r="E13" s="419" t="s">
        <v>25</v>
      </c>
      <c r="F13" s="419" t="s">
        <v>26</v>
      </c>
      <c r="G13" s="676">
        <v>0.62</v>
      </c>
      <c r="H13" s="419" t="s">
        <v>27</v>
      </c>
      <c r="I13" s="419">
        <v>25</v>
      </c>
      <c r="J13" s="37" t="s">
        <v>949</v>
      </c>
      <c r="K13" s="122">
        <f>VLOOKUP(J13,References!$B$7:$F$252,5,FALSE)</f>
        <v>88</v>
      </c>
      <c r="L13" s="66"/>
      <c r="M13" s="66"/>
    </row>
    <row r="14" spans="1:25" x14ac:dyDescent="0.2">
      <c r="A14" s="888" t="s">
        <v>37</v>
      </c>
      <c r="B14" s="889" t="s">
        <v>38</v>
      </c>
      <c r="C14" s="889">
        <v>163.02000000000001</v>
      </c>
      <c r="D14" s="889" t="s">
        <v>39</v>
      </c>
      <c r="E14" s="615" t="s">
        <v>38</v>
      </c>
      <c r="F14" s="615" t="s">
        <v>517</v>
      </c>
      <c r="G14" s="672">
        <v>0.81</v>
      </c>
      <c r="H14" s="615" t="s">
        <v>515</v>
      </c>
      <c r="I14" s="615" t="s">
        <v>33</v>
      </c>
      <c r="J14" s="27" t="s">
        <v>511</v>
      </c>
      <c r="K14" s="100">
        <f>VLOOKUP(J14,References!$B$7:$F$252,5,FALSE)</f>
        <v>36</v>
      </c>
      <c r="L14" s="66"/>
      <c r="M14" s="66"/>
    </row>
    <row r="15" spans="1:25" x14ac:dyDescent="0.2">
      <c r="A15" s="885"/>
      <c r="B15" s="887"/>
      <c r="C15" s="887"/>
      <c r="D15" s="887"/>
      <c r="E15" s="419" t="s">
        <v>38</v>
      </c>
      <c r="F15" s="419" t="s">
        <v>517</v>
      </c>
      <c r="G15" s="676">
        <v>0.53</v>
      </c>
      <c r="H15" s="419" t="s">
        <v>27</v>
      </c>
      <c r="I15" s="419">
        <v>25</v>
      </c>
      <c r="J15" s="37" t="s">
        <v>949</v>
      </c>
      <c r="K15" s="122">
        <f>VLOOKUP(J15,References!$B$7:$F$252,5,FALSE)</f>
        <v>88</v>
      </c>
      <c r="L15" s="66"/>
      <c r="M15" s="66"/>
    </row>
    <row r="16" spans="1:25" x14ac:dyDescent="0.2">
      <c r="A16" s="868" t="s">
        <v>41</v>
      </c>
      <c r="B16" s="869" t="s">
        <v>42</v>
      </c>
      <c r="C16" s="841">
        <v>214</v>
      </c>
      <c r="D16" s="832" t="s">
        <v>43</v>
      </c>
      <c r="E16" s="149" t="s">
        <v>42</v>
      </c>
      <c r="F16" s="58" t="s">
        <v>43</v>
      </c>
      <c r="G16" s="134">
        <v>0.2</v>
      </c>
      <c r="H16" s="58" t="s">
        <v>27</v>
      </c>
      <c r="I16" s="58">
        <v>25</v>
      </c>
      <c r="J16" s="30" t="s">
        <v>947</v>
      </c>
      <c r="K16" s="100">
        <f>VLOOKUP(J16,References!$B$7:$F$252,5,FALSE)</f>
        <v>48</v>
      </c>
    </row>
    <row r="17" spans="1:11" x14ac:dyDescent="0.2">
      <c r="A17" s="868"/>
      <c r="B17" s="869"/>
      <c r="C17" s="841"/>
      <c r="D17" s="832"/>
      <c r="E17" s="149" t="s">
        <v>42</v>
      </c>
      <c r="F17" s="58" t="s">
        <v>43</v>
      </c>
      <c r="G17" s="134">
        <v>0.4</v>
      </c>
      <c r="H17" s="58" t="s">
        <v>27</v>
      </c>
      <c r="I17" s="58">
        <v>25</v>
      </c>
      <c r="J17" s="30" t="s">
        <v>949</v>
      </c>
      <c r="K17" s="100">
        <f>VLOOKUP(J17,References!$B$7:$F$252,5,FALSE)</f>
        <v>88</v>
      </c>
    </row>
    <row r="18" spans="1:11" x14ac:dyDescent="0.2">
      <c r="A18" s="868"/>
      <c r="B18" s="869"/>
      <c r="C18" s="841"/>
      <c r="D18" s="832"/>
      <c r="E18" s="149" t="s">
        <v>42</v>
      </c>
      <c r="F18" s="58" t="s">
        <v>43</v>
      </c>
      <c r="G18" s="134">
        <v>0.4</v>
      </c>
      <c r="H18" s="58" t="s">
        <v>571</v>
      </c>
      <c r="I18" s="58" t="s">
        <v>33</v>
      </c>
      <c r="J18" s="27" t="s">
        <v>948</v>
      </c>
      <c r="K18" s="100">
        <f>VLOOKUP(J18,References!$B$7:$F$252,5,FALSE)</f>
        <v>42</v>
      </c>
    </row>
    <row r="19" spans="1:11" x14ac:dyDescent="0.2">
      <c r="A19" s="868"/>
      <c r="B19" s="869"/>
      <c r="C19" s="841"/>
      <c r="D19" s="832"/>
      <c r="E19" s="149" t="s">
        <v>42</v>
      </c>
      <c r="F19" s="58" t="s">
        <v>43</v>
      </c>
      <c r="G19" s="134">
        <v>0.7</v>
      </c>
      <c r="H19" s="58" t="s">
        <v>522</v>
      </c>
      <c r="I19" s="58" t="s">
        <v>33</v>
      </c>
      <c r="J19" s="27" t="s">
        <v>948</v>
      </c>
      <c r="K19" s="100">
        <f>VLOOKUP(J19,References!$B$7:$F$252,5,FALSE)</f>
        <v>42</v>
      </c>
    </row>
    <row r="20" spans="1:11" x14ac:dyDescent="0.2">
      <c r="A20" s="868"/>
      <c r="B20" s="869"/>
      <c r="C20" s="841"/>
      <c r="D20" s="832"/>
      <c r="E20" s="149" t="s">
        <v>42</v>
      </c>
      <c r="F20" s="58" t="s">
        <v>43</v>
      </c>
      <c r="G20" s="180">
        <v>0.77</v>
      </c>
      <c r="H20" s="58" t="s">
        <v>522</v>
      </c>
      <c r="I20" s="58" t="s">
        <v>33</v>
      </c>
      <c r="J20" s="30" t="s">
        <v>523</v>
      </c>
      <c r="K20" s="100">
        <f>VLOOKUP(J20,References!$B$7:$F$252,5,FALSE)</f>
        <v>127</v>
      </c>
    </row>
    <row r="21" spans="1:11" x14ac:dyDescent="0.2">
      <c r="A21" s="868"/>
      <c r="B21" s="869"/>
      <c r="C21" s="841"/>
      <c r="D21" s="832"/>
      <c r="E21" s="149" t="s">
        <v>42</v>
      </c>
      <c r="F21" s="58" t="s">
        <v>43</v>
      </c>
      <c r="G21" s="58" t="s">
        <v>950</v>
      </c>
      <c r="H21" s="58" t="s">
        <v>27</v>
      </c>
      <c r="I21" s="58" t="s">
        <v>33</v>
      </c>
      <c r="J21" s="30" t="s">
        <v>951</v>
      </c>
      <c r="K21" s="100">
        <f>VLOOKUP(J21,References!$B$7:$F$252,5,FALSE)</f>
        <v>125</v>
      </c>
    </row>
    <row r="22" spans="1:11" x14ac:dyDescent="0.2">
      <c r="A22" s="868"/>
      <c r="B22" s="869"/>
      <c r="C22" s="841"/>
      <c r="D22" s="832"/>
      <c r="E22" s="149" t="s">
        <v>42</v>
      </c>
      <c r="F22" s="58" t="s">
        <v>43</v>
      </c>
      <c r="G22" s="58">
        <v>0.41</v>
      </c>
      <c r="H22" s="58" t="s">
        <v>27</v>
      </c>
      <c r="I22" s="58" t="s">
        <v>33</v>
      </c>
      <c r="J22" s="30" t="s">
        <v>47</v>
      </c>
      <c r="K22" s="100">
        <f>VLOOKUP(J22,References!$B$7:$F$252,5,FALSE)</f>
        <v>3</v>
      </c>
    </row>
    <row r="23" spans="1:11" x14ac:dyDescent="0.2">
      <c r="A23" s="879"/>
      <c r="B23" s="851"/>
      <c r="C23" s="842"/>
      <c r="D23" s="834"/>
      <c r="E23" s="182" t="s">
        <v>42</v>
      </c>
      <c r="F23" s="59" t="s">
        <v>43</v>
      </c>
      <c r="G23" s="337">
        <v>0.08</v>
      </c>
      <c r="H23" s="59" t="s">
        <v>571</v>
      </c>
      <c r="I23" s="59" t="s">
        <v>33</v>
      </c>
      <c r="J23" s="37" t="s">
        <v>45</v>
      </c>
      <c r="K23" s="122">
        <f>VLOOKUP(J23,References!$B$7:$F$252,5,FALSE)</f>
        <v>10</v>
      </c>
    </row>
    <row r="24" spans="1:11" x14ac:dyDescent="0.2">
      <c r="A24" s="867" t="s">
        <v>51</v>
      </c>
      <c r="B24" s="850" t="s">
        <v>52</v>
      </c>
      <c r="C24" s="843">
        <v>264.10000000000002</v>
      </c>
      <c r="D24" s="833" t="s">
        <v>53</v>
      </c>
      <c r="E24" s="149" t="s">
        <v>52</v>
      </c>
      <c r="F24" s="58" t="s">
        <v>53</v>
      </c>
      <c r="G24" s="134">
        <v>0.4</v>
      </c>
      <c r="H24" s="58" t="s">
        <v>27</v>
      </c>
      <c r="I24" s="58">
        <v>25</v>
      </c>
      <c r="J24" s="30" t="s">
        <v>949</v>
      </c>
      <c r="K24" s="100">
        <f>VLOOKUP(J24,References!$B$7:$F$252,5,FALSE)</f>
        <v>88</v>
      </c>
    </row>
    <row r="25" spans="1:11" x14ac:dyDescent="0.2">
      <c r="A25" s="868"/>
      <c r="B25" s="869"/>
      <c r="C25" s="841"/>
      <c r="D25" s="832"/>
      <c r="E25" s="149" t="s">
        <v>52</v>
      </c>
      <c r="F25" s="58" t="s">
        <v>53</v>
      </c>
      <c r="G25" s="134">
        <v>-0.1</v>
      </c>
      <c r="H25" s="58" t="s">
        <v>571</v>
      </c>
      <c r="I25" s="58" t="s">
        <v>33</v>
      </c>
      <c r="J25" s="30" t="s">
        <v>952</v>
      </c>
      <c r="K25" s="100">
        <f>VLOOKUP(J25,References!$B$7:$F$252,5,FALSE)</f>
        <v>120</v>
      </c>
    </row>
    <row r="26" spans="1:11" x14ac:dyDescent="0.2">
      <c r="A26" s="868"/>
      <c r="B26" s="869"/>
      <c r="C26" s="841"/>
      <c r="D26" s="832"/>
      <c r="E26" s="149" t="s">
        <v>52</v>
      </c>
      <c r="F26" s="58" t="s">
        <v>53</v>
      </c>
      <c r="G26" s="353">
        <v>1.2275</v>
      </c>
      <c r="H26" s="58" t="s">
        <v>522</v>
      </c>
      <c r="I26" s="58" t="s">
        <v>33</v>
      </c>
      <c r="J26" s="30" t="s">
        <v>523</v>
      </c>
      <c r="K26" s="100">
        <f>VLOOKUP(J26,References!$B$7:$F$252,5,FALSE)</f>
        <v>127</v>
      </c>
    </row>
    <row r="27" spans="1:11" x14ac:dyDescent="0.2">
      <c r="A27" s="868"/>
      <c r="B27" s="869"/>
      <c r="C27" s="841"/>
      <c r="D27" s="832"/>
      <c r="E27" s="149" t="s">
        <v>52</v>
      </c>
      <c r="F27" s="58" t="s">
        <v>53</v>
      </c>
      <c r="G27" s="353">
        <v>2.27</v>
      </c>
      <c r="H27" s="58" t="s">
        <v>27</v>
      </c>
      <c r="I27" s="58">
        <v>25</v>
      </c>
      <c r="J27" s="30" t="s">
        <v>953</v>
      </c>
      <c r="K27" s="100">
        <f>VLOOKUP(J27,References!$B$7:$F$252,5,FALSE)</f>
        <v>17</v>
      </c>
    </row>
    <row r="28" spans="1:11" x14ac:dyDescent="0.2">
      <c r="A28" s="868"/>
      <c r="B28" s="869"/>
      <c r="C28" s="841"/>
      <c r="D28" s="832"/>
      <c r="E28" s="149" t="s">
        <v>52</v>
      </c>
      <c r="F28" s="58" t="s">
        <v>53</v>
      </c>
      <c r="G28" s="134">
        <v>0.28000000000000003</v>
      </c>
      <c r="H28" s="58" t="s">
        <v>27</v>
      </c>
      <c r="I28" s="58" t="s">
        <v>33</v>
      </c>
      <c r="J28" s="30" t="s">
        <v>47</v>
      </c>
      <c r="K28" s="100">
        <f>VLOOKUP(J28,References!$B$7:$F$252,5,FALSE)</f>
        <v>3</v>
      </c>
    </row>
    <row r="29" spans="1:11" x14ac:dyDescent="0.2">
      <c r="A29" s="879"/>
      <c r="B29" s="851"/>
      <c r="C29" s="842"/>
      <c r="D29" s="834"/>
      <c r="E29" s="149" t="s">
        <v>52</v>
      </c>
      <c r="F29" s="58" t="s">
        <v>53</v>
      </c>
      <c r="G29" s="454">
        <v>0.56899999999999995</v>
      </c>
      <c r="H29" s="59" t="s">
        <v>27</v>
      </c>
      <c r="I29" s="59" t="s">
        <v>33</v>
      </c>
      <c r="J29" s="37" t="s">
        <v>47</v>
      </c>
      <c r="K29" s="122">
        <f>VLOOKUP(J29,References!$B$7:$F$252,5,FALSE)</f>
        <v>3</v>
      </c>
    </row>
    <row r="30" spans="1:11" x14ac:dyDescent="0.2">
      <c r="A30" s="867" t="s">
        <v>57</v>
      </c>
      <c r="B30" s="850" t="s">
        <v>58</v>
      </c>
      <c r="C30" s="833">
        <v>314.10000000000002</v>
      </c>
      <c r="D30" s="833" t="s">
        <v>59</v>
      </c>
      <c r="E30" s="150" t="s">
        <v>58</v>
      </c>
      <c r="F30" s="57" t="s">
        <v>59</v>
      </c>
      <c r="G30" s="289">
        <v>0.7</v>
      </c>
      <c r="H30" s="58" t="s">
        <v>27</v>
      </c>
      <c r="I30" s="58">
        <v>25</v>
      </c>
      <c r="J30" s="30" t="s">
        <v>949</v>
      </c>
      <c r="K30" s="100">
        <f>VLOOKUP(J30,References!$B$7:$F$252,5,FALSE)</f>
        <v>88</v>
      </c>
    </row>
    <row r="31" spans="1:11" x14ac:dyDescent="0.2">
      <c r="A31" s="868"/>
      <c r="B31" s="869"/>
      <c r="C31" s="832"/>
      <c r="D31" s="832"/>
      <c r="E31" s="149" t="s">
        <v>58</v>
      </c>
      <c r="F31" s="58" t="s">
        <v>59</v>
      </c>
      <c r="G31" s="338">
        <v>-0.16</v>
      </c>
      <c r="H31" s="58" t="s">
        <v>571</v>
      </c>
      <c r="I31" s="58" t="s">
        <v>33</v>
      </c>
      <c r="J31" s="30" t="s">
        <v>952</v>
      </c>
      <c r="K31" s="100">
        <f>VLOOKUP(J31,References!$B$7:$F$252,5,FALSE)</f>
        <v>120</v>
      </c>
    </row>
    <row r="32" spans="1:11" x14ac:dyDescent="0.2">
      <c r="A32" s="868"/>
      <c r="B32" s="869"/>
      <c r="C32" s="832"/>
      <c r="D32" s="832"/>
      <c r="E32" s="149" t="s">
        <v>58</v>
      </c>
      <c r="F32" s="58" t="s">
        <v>59</v>
      </c>
      <c r="G32" s="338">
        <v>1.395</v>
      </c>
      <c r="H32" s="58" t="s">
        <v>522</v>
      </c>
      <c r="I32" s="58" t="s">
        <v>33</v>
      </c>
      <c r="J32" s="30" t="s">
        <v>523</v>
      </c>
      <c r="K32" s="100">
        <f>VLOOKUP(J32,References!$B$7:$F$252,5,FALSE)</f>
        <v>127</v>
      </c>
    </row>
    <row r="33" spans="1:11" x14ac:dyDescent="0.2">
      <c r="A33" s="868"/>
      <c r="B33" s="869"/>
      <c r="C33" s="832"/>
      <c r="D33" s="832"/>
      <c r="E33" s="149" t="s">
        <v>58</v>
      </c>
      <c r="F33" s="58" t="s">
        <v>59</v>
      </c>
      <c r="G33" s="134" t="s">
        <v>950</v>
      </c>
      <c r="H33" s="58" t="s">
        <v>27</v>
      </c>
      <c r="I33" s="58" t="s">
        <v>33</v>
      </c>
      <c r="J33" s="30" t="s">
        <v>951</v>
      </c>
      <c r="K33" s="100">
        <f>VLOOKUP(J33,References!$B$7:$F$252,5,FALSE)</f>
        <v>125</v>
      </c>
    </row>
    <row r="34" spans="1:11" x14ac:dyDescent="0.2">
      <c r="A34" s="868"/>
      <c r="B34" s="869"/>
      <c r="C34" s="832"/>
      <c r="D34" s="832"/>
      <c r="E34" s="149" t="s">
        <v>58</v>
      </c>
      <c r="F34" s="58" t="s">
        <v>59</v>
      </c>
      <c r="G34" s="134">
        <v>2.17</v>
      </c>
      <c r="H34" s="58" t="s">
        <v>27</v>
      </c>
      <c r="I34" s="58">
        <v>25</v>
      </c>
      <c r="J34" s="30" t="s">
        <v>953</v>
      </c>
      <c r="K34" s="100">
        <f>VLOOKUP(J34,References!$B$7:$F$252,5,FALSE)</f>
        <v>17</v>
      </c>
    </row>
    <row r="35" spans="1:11" x14ac:dyDescent="0.2">
      <c r="A35" s="868"/>
      <c r="B35" s="869"/>
      <c r="C35" s="832"/>
      <c r="D35" s="832"/>
      <c r="E35" s="149" t="s">
        <v>58</v>
      </c>
      <c r="F35" s="58" t="s">
        <v>59</v>
      </c>
      <c r="G35" s="195">
        <v>0.84</v>
      </c>
      <c r="H35" s="59" t="s">
        <v>27</v>
      </c>
      <c r="I35" s="59" t="s">
        <v>33</v>
      </c>
      <c r="J35" s="37" t="s">
        <v>47</v>
      </c>
      <c r="K35" s="122">
        <f>VLOOKUP(J35,References!$B$7:$F$252,5,FALSE)</f>
        <v>3</v>
      </c>
    </row>
    <row r="36" spans="1:11" x14ac:dyDescent="0.2">
      <c r="A36" s="867" t="s">
        <v>66</v>
      </c>
      <c r="B36" s="850" t="s">
        <v>67</v>
      </c>
      <c r="C36" s="833">
        <v>364.1</v>
      </c>
      <c r="D36" s="833" t="s">
        <v>68</v>
      </c>
      <c r="E36" s="150" t="s">
        <v>67</v>
      </c>
      <c r="F36" s="57" t="s">
        <v>68</v>
      </c>
      <c r="G36" s="338">
        <v>-0.19</v>
      </c>
      <c r="H36" s="58" t="s">
        <v>571</v>
      </c>
      <c r="I36" s="58" t="s">
        <v>33</v>
      </c>
      <c r="J36" s="30" t="s">
        <v>952</v>
      </c>
      <c r="K36" s="100">
        <f>VLOOKUP(J36,References!$B$7:$F$252,5,FALSE)</f>
        <v>120</v>
      </c>
    </row>
    <row r="37" spans="1:11" x14ac:dyDescent="0.2">
      <c r="A37" s="868"/>
      <c r="B37" s="869"/>
      <c r="C37" s="832"/>
      <c r="D37" s="832"/>
      <c r="E37" s="149" t="s">
        <v>67</v>
      </c>
      <c r="F37" s="58" t="s">
        <v>68</v>
      </c>
      <c r="G37" s="338">
        <v>2.3807</v>
      </c>
      <c r="H37" s="58" t="s">
        <v>522</v>
      </c>
      <c r="I37" s="58" t="s">
        <v>33</v>
      </c>
      <c r="J37" s="30" t="s">
        <v>523</v>
      </c>
      <c r="K37" s="100">
        <f>VLOOKUP(J37,References!$B$7:$F$252,5,FALSE)</f>
        <v>127</v>
      </c>
    </row>
    <row r="38" spans="1:11" x14ac:dyDescent="0.2">
      <c r="A38" s="868"/>
      <c r="B38" s="869"/>
      <c r="C38" s="832"/>
      <c r="D38" s="832"/>
      <c r="E38" s="149" t="s">
        <v>67</v>
      </c>
      <c r="F38" s="58" t="s">
        <v>68</v>
      </c>
      <c r="G38" s="495" t="s">
        <v>950</v>
      </c>
      <c r="H38" s="58" t="s">
        <v>27</v>
      </c>
      <c r="I38" s="58" t="s">
        <v>33</v>
      </c>
      <c r="J38" s="30" t="s">
        <v>951</v>
      </c>
      <c r="K38" s="100">
        <f>VLOOKUP(J38,References!$B$7:$F$252,5,FALSE)</f>
        <v>125</v>
      </c>
    </row>
    <row r="39" spans="1:11" x14ac:dyDescent="0.2">
      <c r="A39" s="868"/>
      <c r="B39" s="869"/>
      <c r="C39" s="832"/>
      <c r="D39" s="832"/>
      <c r="E39" s="149" t="s">
        <v>67</v>
      </c>
      <c r="F39" s="58" t="s">
        <v>68</v>
      </c>
      <c r="G39" s="495" t="s">
        <v>954</v>
      </c>
      <c r="H39" s="58" t="s">
        <v>27</v>
      </c>
      <c r="I39" s="58">
        <v>25</v>
      </c>
      <c r="J39" s="30" t="s">
        <v>953</v>
      </c>
      <c r="K39" s="100">
        <f>VLOOKUP(J39,References!$B$7:$F$252,5,FALSE)</f>
        <v>17</v>
      </c>
    </row>
    <row r="40" spans="1:11" x14ac:dyDescent="0.2">
      <c r="A40" s="868"/>
      <c r="B40" s="869"/>
      <c r="C40" s="832"/>
      <c r="D40" s="832"/>
      <c r="E40" s="149" t="s">
        <v>67</v>
      </c>
      <c r="F40" s="58" t="s">
        <v>68</v>
      </c>
      <c r="G40" s="496">
        <v>-0.15</v>
      </c>
      <c r="H40" s="58" t="s">
        <v>571</v>
      </c>
      <c r="I40" s="58" t="s">
        <v>33</v>
      </c>
      <c r="J40" s="30" t="s">
        <v>45</v>
      </c>
      <c r="K40" s="100">
        <f>VLOOKUP(J40,References!$B$7:$F$252,5,FALSE)</f>
        <v>10</v>
      </c>
    </row>
    <row r="41" spans="1:11" x14ac:dyDescent="0.2">
      <c r="A41" s="868"/>
      <c r="B41" s="869"/>
      <c r="C41" s="832"/>
      <c r="D41" s="832"/>
      <c r="E41" s="149" t="s">
        <v>67</v>
      </c>
      <c r="F41" s="58" t="s">
        <v>68</v>
      </c>
      <c r="G41" s="496">
        <v>-0.15</v>
      </c>
      <c r="H41" s="58" t="s">
        <v>27</v>
      </c>
      <c r="I41" s="58" t="s">
        <v>33</v>
      </c>
      <c r="J41" s="30" t="s">
        <v>47</v>
      </c>
      <c r="K41" s="100">
        <f>VLOOKUP(J41,References!$B$7:$F$252,5,FALSE)</f>
        <v>3</v>
      </c>
    </row>
    <row r="42" spans="1:11" x14ac:dyDescent="0.2">
      <c r="A42" s="879"/>
      <c r="B42" s="851"/>
      <c r="C42" s="834"/>
      <c r="D42" s="834"/>
      <c r="E42" s="182" t="s">
        <v>67</v>
      </c>
      <c r="F42" s="59" t="s">
        <v>68</v>
      </c>
      <c r="G42" s="339">
        <v>0.75</v>
      </c>
      <c r="H42" s="59" t="s">
        <v>27</v>
      </c>
      <c r="I42" s="59" t="s">
        <v>33</v>
      </c>
      <c r="J42" s="37" t="s">
        <v>955</v>
      </c>
      <c r="K42" s="122">
        <f>VLOOKUP(J42,References!$B$7:$F$252,5,FALSE)</f>
        <v>62</v>
      </c>
    </row>
    <row r="43" spans="1:11" x14ac:dyDescent="0.2">
      <c r="A43" s="868" t="s">
        <v>77</v>
      </c>
      <c r="B43" s="869" t="s">
        <v>78</v>
      </c>
      <c r="C43" s="832">
        <v>414.1</v>
      </c>
      <c r="D43" s="832" t="s">
        <v>79</v>
      </c>
      <c r="E43" s="149" t="s">
        <v>78</v>
      </c>
      <c r="F43" s="58" t="s">
        <v>79</v>
      </c>
      <c r="G43" s="289">
        <v>2.8</v>
      </c>
      <c r="H43" s="58" t="s">
        <v>27</v>
      </c>
      <c r="I43" s="58" t="s">
        <v>33</v>
      </c>
      <c r="J43" s="30" t="s">
        <v>124</v>
      </c>
      <c r="K43" s="100">
        <f>VLOOKUP(J43,References!$B$7:$F$252,5,FALSE)</f>
        <v>15</v>
      </c>
    </row>
    <row r="44" spans="1:11" x14ac:dyDescent="0.2">
      <c r="A44" s="868"/>
      <c r="B44" s="869"/>
      <c r="C44" s="832"/>
      <c r="D44" s="832"/>
      <c r="E44" s="149" t="s">
        <v>78</v>
      </c>
      <c r="F44" s="58" t="s">
        <v>79</v>
      </c>
      <c r="G44" s="289">
        <v>2.5</v>
      </c>
      <c r="H44" s="58" t="s">
        <v>27</v>
      </c>
      <c r="I44" s="58" t="s">
        <v>33</v>
      </c>
      <c r="J44" s="30" t="s">
        <v>82</v>
      </c>
      <c r="K44" s="100">
        <f>VLOOKUP(J44,References!$B$7:$F$252,5,FALSE)</f>
        <v>2</v>
      </c>
    </row>
    <row r="45" spans="1:11" x14ac:dyDescent="0.2">
      <c r="A45" s="868"/>
      <c r="B45" s="869"/>
      <c r="C45" s="832"/>
      <c r="D45" s="832"/>
      <c r="E45" s="149" t="s">
        <v>78</v>
      </c>
      <c r="F45" s="58" t="s">
        <v>79</v>
      </c>
      <c r="G45" s="338">
        <v>1.31</v>
      </c>
      <c r="H45" s="58" t="s">
        <v>27</v>
      </c>
      <c r="I45" s="58">
        <v>25</v>
      </c>
      <c r="J45" s="30" t="s">
        <v>640</v>
      </c>
      <c r="K45" s="100">
        <f>VLOOKUP(J45,References!$B$7:$F$252,5,FALSE)</f>
        <v>83</v>
      </c>
    </row>
    <row r="46" spans="1:11" x14ac:dyDescent="0.2">
      <c r="A46" s="868"/>
      <c r="B46" s="869"/>
      <c r="C46" s="832"/>
      <c r="D46" s="832"/>
      <c r="E46" s="149" t="s">
        <v>78</v>
      </c>
      <c r="F46" s="58" t="s">
        <v>79</v>
      </c>
      <c r="G46" s="289">
        <v>-0.2</v>
      </c>
      <c r="H46" s="58" t="s">
        <v>571</v>
      </c>
      <c r="I46" s="58" t="s">
        <v>33</v>
      </c>
      <c r="J46" s="30" t="s">
        <v>952</v>
      </c>
      <c r="K46" s="100">
        <f>VLOOKUP(J46,References!$B$7:$F$252,5,FALSE)</f>
        <v>120</v>
      </c>
    </row>
    <row r="47" spans="1:11" x14ac:dyDescent="0.2">
      <c r="A47" s="868"/>
      <c r="B47" s="869"/>
      <c r="C47" s="832"/>
      <c r="D47" s="832"/>
      <c r="E47" s="149" t="s">
        <v>78</v>
      </c>
      <c r="F47" s="58" t="s">
        <v>79</v>
      </c>
      <c r="G47" s="289">
        <v>-0.1</v>
      </c>
      <c r="H47" s="58" t="s">
        <v>571</v>
      </c>
      <c r="I47" s="58" t="s">
        <v>33</v>
      </c>
      <c r="J47" s="30" t="s">
        <v>948</v>
      </c>
      <c r="K47" s="100">
        <f>VLOOKUP(J47,References!$B$7:$F$252,5,FALSE)</f>
        <v>42</v>
      </c>
    </row>
    <row r="48" spans="1:11" x14ac:dyDescent="0.2">
      <c r="A48" s="868"/>
      <c r="B48" s="869"/>
      <c r="C48" s="832"/>
      <c r="D48" s="832"/>
      <c r="E48" s="149" t="s">
        <v>78</v>
      </c>
      <c r="F48" s="58" t="s">
        <v>79</v>
      </c>
      <c r="G48" s="289">
        <v>0.7</v>
      </c>
      <c r="H48" s="58" t="s">
        <v>522</v>
      </c>
      <c r="I48" s="58" t="s">
        <v>33</v>
      </c>
      <c r="J48" s="30" t="s">
        <v>948</v>
      </c>
      <c r="K48" s="100">
        <f>VLOOKUP(J48,References!$B$7:$F$252,5,FALSE)</f>
        <v>42</v>
      </c>
    </row>
    <row r="49" spans="1:11" x14ac:dyDescent="0.2">
      <c r="A49" s="868"/>
      <c r="B49" s="869"/>
      <c r="C49" s="832"/>
      <c r="D49" s="832"/>
      <c r="E49" s="149" t="s">
        <v>78</v>
      </c>
      <c r="F49" s="58" t="s">
        <v>79</v>
      </c>
      <c r="G49" s="289">
        <v>3.8</v>
      </c>
      <c r="H49" s="58" t="s">
        <v>27</v>
      </c>
      <c r="I49" s="58" t="s">
        <v>33</v>
      </c>
      <c r="J49" s="30" t="s">
        <v>427</v>
      </c>
      <c r="K49" s="100">
        <f>VLOOKUP(J49,References!$B$7:$F$252,5,FALSE)</f>
        <v>16</v>
      </c>
    </row>
    <row r="50" spans="1:11" x14ac:dyDescent="0.2">
      <c r="A50" s="868"/>
      <c r="B50" s="869"/>
      <c r="C50" s="832"/>
      <c r="D50" s="832"/>
      <c r="E50" s="149" t="s">
        <v>78</v>
      </c>
      <c r="F50" s="58" t="s">
        <v>79</v>
      </c>
      <c r="G50" s="497" t="s">
        <v>956</v>
      </c>
      <c r="H50" s="58" t="s">
        <v>27</v>
      </c>
      <c r="I50" s="58" t="s">
        <v>33</v>
      </c>
      <c r="J50" s="30" t="s">
        <v>957</v>
      </c>
      <c r="K50" s="100">
        <f>VLOOKUP(J50,References!$B$7:$F$252,5,FALSE)</f>
        <v>23</v>
      </c>
    </row>
    <row r="51" spans="1:11" x14ac:dyDescent="0.2">
      <c r="A51" s="868"/>
      <c r="B51" s="869"/>
      <c r="C51" s="832"/>
      <c r="D51" s="832"/>
      <c r="E51" s="149" t="s">
        <v>78</v>
      </c>
      <c r="F51" s="58" t="s">
        <v>79</v>
      </c>
      <c r="G51" s="338">
        <v>1.3859999999999999</v>
      </c>
      <c r="H51" s="58" t="s">
        <v>522</v>
      </c>
      <c r="I51" s="58" t="s">
        <v>33</v>
      </c>
      <c r="J51" s="30" t="s">
        <v>523</v>
      </c>
      <c r="K51" s="100">
        <f>VLOOKUP(J51,References!$B$7:$F$252,5,FALSE)</f>
        <v>127</v>
      </c>
    </row>
    <row r="52" spans="1:11" x14ac:dyDescent="0.2">
      <c r="A52" s="868"/>
      <c r="B52" s="869"/>
      <c r="C52" s="832"/>
      <c r="D52" s="832"/>
      <c r="E52" s="149" t="s">
        <v>78</v>
      </c>
      <c r="F52" s="58" t="s">
        <v>79</v>
      </c>
      <c r="G52" s="58">
        <v>0.5</v>
      </c>
      <c r="H52" s="58" t="s">
        <v>27</v>
      </c>
      <c r="I52" s="58" t="s">
        <v>33</v>
      </c>
      <c r="J52" s="30" t="s">
        <v>951</v>
      </c>
      <c r="K52" s="100">
        <f>VLOOKUP(J52,References!$B$7:$F$252,5,FALSE)</f>
        <v>125</v>
      </c>
    </row>
    <row r="53" spans="1:11" x14ac:dyDescent="0.2">
      <c r="A53" s="868"/>
      <c r="B53" s="869"/>
      <c r="C53" s="832"/>
      <c r="D53" s="832"/>
      <c r="E53" s="149" t="s">
        <v>78</v>
      </c>
      <c r="F53" s="58" t="s">
        <v>79</v>
      </c>
      <c r="G53" s="338">
        <v>-0.21</v>
      </c>
      <c r="H53" s="58" t="s">
        <v>571</v>
      </c>
      <c r="I53" s="58" t="s">
        <v>33</v>
      </c>
      <c r="J53" s="30" t="s">
        <v>533</v>
      </c>
      <c r="K53" s="100">
        <f>VLOOKUP(J53,References!$B$7:$F$252,5,FALSE)</f>
        <v>40</v>
      </c>
    </row>
    <row r="54" spans="1:11" x14ac:dyDescent="0.2">
      <c r="A54" s="868"/>
      <c r="B54" s="869"/>
      <c r="C54" s="832"/>
      <c r="D54" s="832"/>
      <c r="E54" s="149" t="s">
        <v>78</v>
      </c>
      <c r="F54" s="58" t="s">
        <v>79</v>
      </c>
      <c r="G54" s="338">
        <v>2.2999999999999998</v>
      </c>
      <c r="H54" s="58" t="s">
        <v>27</v>
      </c>
      <c r="I54" s="58">
        <v>25</v>
      </c>
      <c r="J54" s="30" t="s">
        <v>953</v>
      </c>
      <c r="K54" s="100">
        <f>VLOOKUP(J54,References!$B$7:$F$252,5,FALSE)</f>
        <v>17</v>
      </c>
    </row>
    <row r="55" spans="1:11" x14ac:dyDescent="0.2">
      <c r="A55" s="868"/>
      <c r="B55" s="869"/>
      <c r="C55" s="832"/>
      <c r="D55" s="832"/>
      <c r="E55" s="149" t="s">
        <v>78</v>
      </c>
      <c r="F55" s="58" t="s">
        <v>79</v>
      </c>
      <c r="G55" s="338">
        <v>2.8</v>
      </c>
      <c r="H55" s="58" t="s">
        <v>27</v>
      </c>
      <c r="I55" s="58" t="s">
        <v>33</v>
      </c>
      <c r="J55" s="30" t="s">
        <v>47</v>
      </c>
      <c r="K55" s="100">
        <f>VLOOKUP(J55,References!$B$7:$F$252,5,FALSE)</f>
        <v>3</v>
      </c>
    </row>
    <row r="56" spans="1:11" x14ac:dyDescent="0.2">
      <c r="A56" s="879"/>
      <c r="B56" s="851"/>
      <c r="C56" s="834"/>
      <c r="D56" s="834"/>
      <c r="E56" s="182" t="s">
        <v>78</v>
      </c>
      <c r="F56" s="59" t="s">
        <v>79</v>
      </c>
      <c r="G56" s="339">
        <v>0.96</v>
      </c>
      <c r="H56" s="59" t="s">
        <v>27</v>
      </c>
      <c r="I56" s="59" t="s">
        <v>33</v>
      </c>
      <c r="J56" s="37" t="s">
        <v>955</v>
      </c>
      <c r="K56" s="122">
        <f>VLOOKUP(J56,References!$B$7:$F$252,5,FALSE)</f>
        <v>62</v>
      </c>
    </row>
    <row r="57" spans="1:11" x14ac:dyDescent="0.2">
      <c r="A57" s="867" t="s">
        <v>86</v>
      </c>
      <c r="B57" s="850" t="s">
        <v>87</v>
      </c>
      <c r="C57" s="833">
        <v>464.1</v>
      </c>
      <c r="D57" s="833" t="s">
        <v>88</v>
      </c>
      <c r="E57" s="150" t="s">
        <v>87</v>
      </c>
      <c r="F57" s="57" t="s">
        <v>88</v>
      </c>
      <c r="G57" s="338">
        <v>-0.21</v>
      </c>
      <c r="H57" s="58" t="s">
        <v>571</v>
      </c>
      <c r="I57" s="58" t="s">
        <v>33</v>
      </c>
      <c r="J57" s="30" t="s">
        <v>952</v>
      </c>
      <c r="K57" s="100">
        <f>VLOOKUP(J57,References!$B$7:$F$252,5,FALSE)</f>
        <v>120</v>
      </c>
    </row>
    <row r="58" spans="1:11" x14ac:dyDescent="0.2">
      <c r="A58" s="868"/>
      <c r="B58" s="869"/>
      <c r="C58" s="832"/>
      <c r="D58" s="832"/>
      <c r="E58" s="149" t="s">
        <v>87</v>
      </c>
      <c r="F58" s="58" t="s">
        <v>88</v>
      </c>
      <c r="G58" s="338">
        <v>0.82</v>
      </c>
      <c r="H58" s="58" t="s">
        <v>522</v>
      </c>
      <c r="I58" s="58" t="s">
        <v>33</v>
      </c>
      <c r="J58" s="30" t="s">
        <v>523</v>
      </c>
      <c r="K58" s="100">
        <f>VLOOKUP(J58,References!$B$7:$F$252,5,FALSE)</f>
        <v>127</v>
      </c>
    </row>
    <row r="59" spans="1:11" x14ac:dyDescent="0.2">
      <c r="A59" s="868"/>
      <c r="B59" s="869"/>
      <c r="C59" s="832"/>
      <c r="D59" s="832"/>
      <c r="E59" s="149" t="s">
        <v>87</v>
      </c>
      <c r="F59" s="58" t="s">
        <v>88</v>
      </c>
      <c r="G59" s="220" t="s">
        <v>950</v>
      </c>
      <c r="H59" s="58" t="s">
        <v>27</v>
      </c>
      <c r="I59" s="58" t="s">
        <v>33</v>
      </c>
      <c r="J59" s="30" t="s">
        <v>951</v>
      </c>
      <c r="K59" s="100">
        <f>VLOOKUP(J59,References!$B$7:$F$252,5,FALSE)</f>
        <v>125</v>
      </c>
    </row>
    <row r="60" spans="1:11" x14ac:dyDescent="0.2">
      <c r="A60" s="868"/>
      <c r="B60" s="869"/>
      <c r="C60" s="832"/>
      <c r="D60" s="832"/>
      <c r="E60" s="149" t="s">
        <v>87</v>
      </c>
      <c r="F60" s="58" t="s">
        <v>88</v>
      </c>
      <c r="G60" s="220">
        <v>2.34</v>
      </c>
      <c r="H60" s="58" t="s">
        <v>27</v>
      </c>
      <c r="I60" s="58">
        <v>25</v>
      </c>
      <c r="J60" s="30" t="s">
        <v>953</v>
      </c>
      <c r="K60" s="100">
        <f>VLOOKUP(J60,References!$B$7:$F$252,5,FALSE)</f>
        <v>17</v>
      </c>
    </row>
    <row r="61" spans="1:11" x14ac:dyDescent="0.2">
      <c r="A61" s="868"/>
      <c r="B61" s="869"/>
      <c r="C61" s="832"/>
      <c r="D61" s="832"/>
      <c r="E61" s="149" t="s">
        <v>87</v>
      </c>
      <c r="F61" s="58" t="s">
        <v>88</v>
      </c>
      <c r="G61" s="338">
        <v>-0.21</v>
      </c>
      <c r="H61" s="58" t="s">
        <v>571</v>
      </c>
      <c r="I61" s="58" t="s">
        <v>33</v>
      </c>
      <c r="J61" s="30" t="s">
        <v>45</v>
      </c>
      <c r="K61" s="100">
        <f>VLOOKUP(J61,References!$B$7:$F$252,5,FALSE)</f>
        <v>10</v>
      </c>
    </row>
    <row r="62" spans="1:11" x14ac:dyDescent="0.2">
      <c r="A62" s="868"/>
      <c r="B62" s="869"/>
      <c r="C62" s="832"/>
      <c r="D62" s="832"/>
      <c r="E62" s="149" t="s">
        <v>87</v>
      </c>
      <c r="F62" s="58" t="s">
        <v>88</v>
      </c>
      <c r="G62" s="338">
        <v>2.5750000000000002</v>
      </c>
      <c r="H62" s="58" t="s">
        <v>27</v>
      </c>
      <c r="I62" s="58" t="s">
        <v>33</v>
      </c>
      <c r="J62" s="30" t="s">
        <v>47</v>
      </c>
      <c r="K62" s="100">
        <f>VLOOKUP(J62,References!$B$7:$F$252,5,FALSE)</f>
        <v>3</v>
      </c>
    </row>
    <row r="63" spans="1:11" x14ac:dyDescent="0.2">
      <c r="A63" s="879"/>
      <c r="B63" s="851"/>
      <c r="C63" s="834"/>
      <c r="D63" s="834"/>
      <c r="E63" s="182" t="s">
        <v>87</v>
      </c>
      <c r="F63" s="59" t="s">
        <v>88</v>
      </c>
      <c r="G63" s="339">
        <v>-0.31</v>
      </c>
      <c r="H63" s="59" t="s">
        <v>27</v>
      </c>
      <c r="I63" s="59" t="s">
        <v>33</v>
      </c>
      <c r="J63" s="37" t="s">
        <v>955</v>
      </c>
      <c r="K63" s="122">
        <f>VLOOKUP(J63,References!$B$7:$F$252,5,FALSE)</f>
        <v>62</v>
      </c>
    </row>
    <row r="64" spans="1:11" x14ac:dyDescent="0.2">
      <c r="A64" s="868" t="s">
        <v>95</v>
      </c>
      <c r="B64" s="869" t="s">
        <v>96</v>
      </c>
      <c r="C64" s="832">
        <v>514.1</v>
      </c>
      <c r="D64" s="832" t="s">
        <v>97</v>
      </c>
      <c r="E64" s="149" t="s">
        <v>96</v>
      </c>
      <c r="F64" s="58" t="s">
        <v>97</v>
      </c>
      <c r="G64" s="289">
        <v>2.6</v>
      </c>
      <c r="H64" s="58" t="s">
        <v>27</v>
      </c>
      <c r="I64" s="58">
        <v>25</v>
      </c>
      <c r="J64" s="30" t="s">
        <v>949</v>
      </c>
      <c r="K64" s="100">
        <f>VLOOKUP(J64,References!$B$7:$F$252,5,FALSE)</f>
        <v>88</v>
      </c>
    </row>
    <row r="65" spans="1:11" x14ac:dyDescent="0.2">
      <c r="A65" s="868"/>
      <c r="B65" s="869"/>
      <c r="C65" s="832"/>
      <c r="D65" s="832"/>
      <c r="E65" s="149" t="s">
        <v>96</v>
      </c>
      <c r="F65" s="58" t="s">
        <v>97</v>
      </c>
      <c r="G65" s="338">
        <v>-0.21</v>
      </c>
      <c r="H65" s="58" t="s">
        <v>571</v>
      </c>
      <c r="I65" s="58" t="s">
        <v>33</v>
      </c>
      <c r="J65" s="30" t="s">
        <v>952</v>
      </c>
      <c r="K65" s="100">
        <f>VLOOKUP(J65,References!$B$7:$F$252,5,FALSE)</f>
        <v>120</v>
      </c>
    </row>
    <row r="66" spans="1:11" x14ac:dyDescent="0.2">
      <c r="A66" s="868"/>
      <c r="B66" s="869"/>
      <c r="C66" s="832"/>
      <c r="D66" s="832"/>
      <c r="E66" s="149" t="s">
        <v>96</v>
      </c>
      <c r="F66" s="58" t="s">
        <v>97</v>
      </c>
      <c r="G66" s="220" t="s">
        <v>950</v>
      </c>
      <c r="H66" s="58" t="s">
        <v>27</v>
      </c>
      <c r="I66" s="58" t="s">
        <v>33</v>
      </c>
      <c r="J66" s="30" t="s">
        <v>951</v>
      </c>
      <c r="K66" s="100">
        <f>VLOOKUP(J66,References!$B$7:$F$252,5,FALSE)</f>
        <v>125</v>
      </c>
    </row>
    <row r="67" spans="1:11" x14ac:dyDescent="0.2">
      <c r="A67" s="868"/>
      <c r="B67" s="869"/>
      <c r="C67" s="832"/>
      <c r="D67" s="832"/>
      <c r="E67" s="149" t="s">
        <v>96</v>
      </c>
      <c r="F67" s="58" t="s">
        <v>97</v>
      </c>
      <c r="G67" s="220">
        <v>2.44</v>
      </c>
      <c r="H67" s="58" t="s">
        <v>27</v>
      </c>
      <c r="I67" s="58">
        <v>25</v>
      </c>
      <c r="J67" s="30" t="s">
        <v>953</v>
      </c>
      <c r="K67" s="100">
        <f>VLOOKUP(J67,References!$B$7:$F$252,5,FALSE)</f>
        <v>17</v>
      </c>
    </row>
    <row r="68" spans="1:11" x14ac:dyDescent="0.2">
      <c r="A68" s="868"/>
      <c r="B68" s="869"/>
      <c r="C68" s="832"/>
      <c r="D68" s="832"/>
      <c r="E68" s="149" t="s">
        <v>96</v>
      </c>
      <c r="F68" s="58" t="s">
        <v>97</v>
      </c>
      <c r="G68" s="338">
        <v>-0.17</v>
      </c>
      <c r="H68" s="58" t="s">
        <v>571</v>
      </c>
      <c r="I68" s="58" t="s">
        <v>33</v>
      </c>
      <c r="J68" s="30" t="s">
        <v>45</v>
      </c>
      <c r="K68" s="100">
        <f>VLOOKUP(J68,References!$B$7:$F$252,5,FALSE)</f>
        <v>10</v>
      </c>
    </row>
    <row r="69" spans="1:11" x14ac:dyDescent="0.2">
      <c r="A69" s="879"/>
      <c r="B69" s="851"/>
      <c r="C69" s="834"/>
      <c r="D69" s="834"/>
      <c r="E69" s="182" t="s">
        <v>96</v>
      </c>
      <c r="F69" s="59" t="s">
        <v>97</v>
      </c>
      <c r="G69" s="339">
        <v>0.04</v>
      </c>
      <c r="H69" s="59" t="s">
        <v>27</v>
      </c>
      <c r="I69" s="59" t="s">
        <v>33</v>
      </c>
      <c r="J69" s="37" t="s">
        <v>955</v>
      </c>
      <c r="K69" s="122">
        <f>VLOOKUP(J69,References!$B$7:$F$252,5,FALSE)</f>
        <v>62</v>
      </c>
    </row>
    <row r="70" spans="1:11" x14ac:dyDescent="0.2">
      <c r="A70" s="868" t="s">
        <v>106</v>
      </c>
      <c r="B70" s="869" t="s">
        <v>107</v>
      </c>
      <c r="C70" s="832">
        <v>564.1</v>
      </c>
      <c r="D70" s="832" t="s">
        <v>108</v>
      </c>
      <c r="E70" s="149" t="s">
        <v>107</v>
      </c>
      <c r="F70" s="58" t="s">
        <v>108</v>
      </c>
      <c r="G70" s="289">
        <v>2.6</v>
      </c>
      <c r="H70" s="58" t="s">
        <v>27</v>
      </c>
      <c r="I70" s="58">
        <v>25</v>
      </c>
      <c r="J70" s="30" t="s">
        <v>949</v>
      </c>
      <c r="K70" s="100">
        <f>VLOOKUP(J70,References!$B$7:$F$252,5,FALSE)</f>
        <v>88</v>
      </c>
    </row>
    <row r="71" spans="1:11" x14ac:dyDescent="0.2">
      <c r="A71" s="868"/>
      <c r="B71" s="869"/>
      <c r="C71" s="832"/>
      <c r="D71" s="832"/>
      <c r="E71" s="149" t="s">
        <v>107</v>
      </c>
      <c r="F71" s="58" t="s">
        <v>108</v>
      </c>
      <c r="G71" s="289">
        <v>-0.21</v>
      </c>
      <c r="H71" s="58" t="s">
        <v>571</v>
      </c>
      <c r="I71" s="58" t="s">
        <v>33</v>
      </c>
      <c r="J71" s="30" t="s">
        <v>952</v>
      </c>
      <c r="K71" s="100">
        <f>VLOOKUP(J71,References!$B$7:$F$252,5,FALSE)</f>
        <v>120</v>
      </c>
    </row>
    <row r="72" spans="1:11" x14ac:dyDescent="0.2">
      <c r="A72" s="868"/>
      <c r="B72" s="869"/>
      <c r="C72" s="832"/>
      <c r="D72" s="832"/>
      <c r="E72" s="149" t="s">
        <v>107</v>
      </c>
      <c r="F72" s="58" t="s">
        <v>108</v>
      </c>
      <c r="G72" s="220" t="s">
        <v>950</v>
      </c>
      <c r="H72" s="58" t="s">
        <v>27</v>
      </c>
      <c r="I72" s="58" t="s">
        <v>33</v>
      </c>
      <c r="J72" s="30" t="s">
        <v>951</v>
      </c>
      <c r="K72" s="100">
        <f>VLOOKUP(J72,References!$B$7:$F$252,5,FALSE)</f>
        <v>125</v>
      </c>
    </row>
    <row r="73" spans="1:11" x14ac:dyDescent="0.2">
      <c r="A73" s="868"/>
      <c r="B73" s="869"/>
      <c r="C73" s="832"/>
      <c r="D73" s="832"/>
      <c r="E73" s="149" t="s">
        <v>107</v>
      </c>
      <c r="F73" s="58" t="s">
        <v>108</v>
      </c>
      <c r="G73" s="338">
        <v>-0.17</v>
      </c>
      <c r="H73" s="58" t="s">
        <v>571</v>
      </c>
      <c r="I73" s="58" t="s">
        <v>33</v>
      </c>
      <c r="J73" s="30" t="s">
        <v>45</v>
      </c>
      <c r="K73" s="100">
        <f>VLOOKUP(J73,References!$B$7:$F$252,5,FALSE)</f>
        <v>10</v>
      </c>
    </row>
    <row r="74" spans="1:11" x14ac:dyDescent="0.2">
      <c r="A74" s="879"/>
      <c r="B74" s="851"/>
      <c r="C74" s="834"/>
      <c r="D74" s="834"/>
      <c r="E74" s="182" t="s">
        <v>107</v>
      </c>
      <c r="F74" s="59" t="s">
        <v>108</v>
      </c>
      <c r="G74" s="339">
        <v>-0.55000000000000004</v>
      </c>
      <c r="H74" s="59" t="s">
        <v>27</v>
      </c>
      <c r="I74" s="59" t="s">
        <v>33</v>
      </c>
      <c r="J74" s="37" t="s">
        <v>955</v>
      </c>
      <c r="K74" s="122">
        <f>VLOOKUP(J74,References!$B$7:$F$252,5,FALSE)</f>
        <v>62</v>
      </c>
    </row>
    <row r="75" spans="1:11" x14ac:dyDescent="0.2">
      <c r="A75" s="868" t="s">
        <v>117</v>
      </c>
      <c r="B75" s="869" t="s">
        <v>118</v>
      </c>
      <c r="C75" s="832">
        <f>C70+50</f>
        <v>614.1</v>
      </c>
      <c r="D75" s="832" t="s">
        <v>119</v>
      </c>
      <c r="E75" s="149" t="s">
        <v>118</v>
      </c>
      <c r="F75" s="58" t="s">
        <v>119</v>
      </c>
      <c r="G75" s="58">
        <v>3.1</v>
      </c>
      <c r="H75" s="58" t="s">
        <v>27</v>
      </c>
      <c r="I75" s="58">
        <v>25</v>
      </c>
      <c r="J75" s="30" t="s">
        <v>949</v>
      </c>
      <c r="K75" s="100">
        <f>VLOOKUP(J75,References!$B$7:$F$252,5,FALSE)</f>
        <v>88</v>
      </c>
    </row>
    <row r="76" spans="1:11" x14ac:dyDescent="0.2">
      <c r="A76" s="868"/>
      <c r="B76" s="869"/>
      <c r="C76" s="832"/>
      <c r="D76" s="832"/>
      <c r="E76" s="149" t="s">
        <v>118</v>
      </c>
      <c r="F76" s="58" t="s">
        <v>119</v>
      </c>
      <c r="G76" s="338">
        <v>-0.21</v>
      </c>
      <c r="H76" s="58" t="s">
        <v>571</v>
      </c>
      <c r="I76" s="58" t="s">
        <v>33</v>
      </c>
      <c r="J76" s="30" t="s">
        <v>952</v>
      </c>
      <c r="K76" s="100">
        <f>VLOOKUP(J76,References!$B$7:$F$252,5,FALSE)</f>
        <v>120</v>
      </c>
    </row>
    <row r="77" spans="1:11" x14ac:dyDescent="0.2">
      <c r="A77" s="868"/>
      <c r="B77" s="869"/>
      <c r="C77" s="832"/>
      <c r="D77" s="832"/>
      <c r="E77" s="149" t="s">
        <v>118</v>
      </c>
      <c r="F77" s="58" t="s">
        <v>119</v>
      </c>
      <c r="G77" s="338">
        <v>-0.2</v>
      </c>
      <c r="H77" s="58" t="s">
        <v>571</v>
      </c>
      <c r="I77" s="58" t="s">
        <v>33</v>
      </c>
      <c r="J77" s="30" t="s">
        <v>948</v>
      </c>
      <c r="K77" s="100">
        <f>VLOOKUP(J77,References!$B$7:$F$252,5,FALSE)</f>
        <v>42</v>
      </c>
    </row>
    <row r="78" spans="1:11" x14ac:dyDescent="0.2">
      <c r="A78" s="868"/>
      <c r="B78" s="869"/>
      <c r="C78" s="832"/>
      <c r="D78" s="832"/>
      <c r="E78" s="149" t="s">
        <v>118</v>
      </c>
      <c r="F78" s="58" t="s">
        <v>119</v>
      </c>
      <c r="G78" s="338">
        <v>0.8</v>
      </c>
      <c r="H78" s="58" t="s">
        <v>522</v>
      </c>
      <c r="I78" s="58" t="s">
        <v>33</v>
      </c>
      <c r="J78" s="30" t="s">
        <v>948</v>
      </c>
      <c r="K78" s="100">
        <f>VLOOKUP(J78,References!$B$7:$F$252,5,FALSE)</f>
        <v>42</v>
      </c>
    </row>
    <row r="79" spans="1:11" x14ac:dyDescent="0.2">
      <c r="A79" s="868"/>
      <c r="B79" s="869"/>
      <c r="C79" s="832"/>
      <c r="D79" s="832"/>
      <c r="E79" s="149" t="s">
        <v>118</v>
      </c>
      <c r="F79" s="58" t="s">
        <v>119</v>
      </c>
      <c r="G79" s="338">
        <v>-0.17</v>
      </c>
      <c r="H79" s="58" t="s">
        <v>571</v>
      </c>
      <c r="I79" s="58" t="s">
        <v>33</v>
      </c>
      <c r="J79" s="30" t="s">
        <v>45</v>
      </c>
      <c r="K79" s="100">
        <f>VLOOKUP(J79,References!$B$7:$F$252,5,FALSE)</f>
        <v>10</v>
      </c>
    </row>
    <row r="80" spans="1:11" x14ac:dyDescent="0.2">
      <c r="A80" s="879"/>
      <c r="B80" s="851"/>
      <c r="C80" s="834"/>
      <c r="D80" s="834"/>
      <c r="E80" s="182" t="s">
        <v>118</v>
      </c>
      <c r="F80" s="59" t="s">
        <v>119</v>
      </c>
      <c r="G80" s="339">
        <v>-1.24</v>
      </c>
      <c r="H80" s="59" t="s">
        <v>27</v>
      </c>
      <c r="I80" s="59" t="s">
        <v>33</v>
      </c>
      <c r="J80" s="37" t="s">
        <v>955</v>
      </c>
      <c r="K80" s="122">
        <f>VLOOKUP(J80,References!$B$7:$F$252,5,FALSE)</f>
        <v>62</v>
      </c>
    </row>
    <row r="81" spans="1:13" x14ac:dyDescent="0.2">
      <c r="A81" s="246" t="s">
        <v>126</v>
      </c>
      <c r="B81" s="182" t="s">
        <v>127</v>
      </c>
      <c r="C81" s="239">
        <v>664.1</v>
      </c>
      <c r="D81" s="239" t="s">
        <v>128</v>
      </c>
      <c r="E81" s="182" t="s">
        <v>127</v>
      </c>
      <c r="F81" s="59" t="s">
        <v>128</v>
      </c>
      <c r="G81" s="59">
        <v>0.54</v>
      </c>
      <c r="H81" s="59" t="s">
        <v>515</v>
      </c>
      <c r="I81" s="59" t="s">
        <v>33</v>
      </c>
      <c r="J81" s="621" t="s">
        <v>511</v>
      </c>
      <c r="K81" s="122">
        <f>VLOOKUP(J81,References!$B$7:$F$252,5,FALSE)</f>
        <v>36</v>
      </c>
    </row>
    <row r="82" spans="1:13" ht="17" thickBot="1" x14ac:dyDescent="0.25">
      <c r="A82" s="187" t="s">
        <v>134</v>
      </c>
      <c r="B82" s="188" t="s">
        <v>135</v>
      </c>
      <c r="C82" s="146">
        <v>714.1</v>
      </c>
      <c r="D82" s="146" t="s">
        <v>136</v>
      </c>
      <c r="E82" s="188" t="s">
        <v>135</v>
      </c>
      <c r="F82" s="138" t="s">
        <v>136</v>
      </c>
      <c r="G82" s="340">
        <v>-0.21</v>
      </c>
      <c r="H82" s="138" t="s">
        <v>571</v>
      </c>
      <c r="I82" s="138" t="s">
        <v>33</v>
      </c>
      <c r="J82" s="210" t="s">
        <v>952</v>
      </c>
      <c r="K82" s="101">
        <f>VLOOKUP(J82,References!$B$7:$F$252,5,FALSE)</f>
        <v>120</v>
      </c>
    </row>
    <row r="83" spans="1:13" ht="17" thickBot="1" x14ac:dyDescent="0.25">
      <c r="A83" s="443" t="s">
        <v>141</v>
      </c>
      <c r="B83" s="175" t="s">
        <v>142</v>
      </c>
      <c r="C83" s="79"/>
      <c r="D83" s="79"/>
      <c r="E83" s="79"/>
      <c r="F83" s="79"/>
      <c r="G83" s="79"/>
      <c r="H83" s="79"/>
      <c r="I83" s="79"/>
      <c r="J83" s="128"/>
      <c r="K83" s="80"/>
    </row>
    <row r="84" spans="1:13" x14ac:dyDescent="0.2">
      <c r="A84" s="295" t="s">
        <v>143</v>
      </c>
      <c r="B84" s="59" t="s">
        <v>144</v>
      </c>
      <c r="C84" s="239">
        <v>150.07</v>
      </c>
      <c r="D84" s="59" t="s">
        <v>145</v>
      </c>
      <c r="E84" s="59" t="s">
        <v>144</v>
      </c>
      <c r="F84" s="59" t="s">
        <v>145</v>
      </c>
      <c r="G84" s="469">
        <v>0.03</v>
      </c>
      <c r="H84" s="337" t="s">
        <v>515</v>
      </c>
      <c r="I84" s="469" t="s">
        <v>33</v>
      </c>
      <c r="J84" s="621" t="s">
        <v>511</v>
      </c>
      <c r="K84" s="122">
        <f>VLOOKUP(J84,References!$B$7:$F$252,5,FALSE)</f>
        <v>36</v>
      </c>
      <c r="L84" s="194"/>
      <c r="M84" s="194"/>
    </row>
    <row r="85" spans="1:13" x14ac:dyDescent="0.2">
      <c r="A85" s="143" t="s">
        <v>151</v>
      </c>
      <c r="B85" s="131" t="s">
        <v>152</v>
      </c>
      <c r="C85" s="153">
        <v>200.08</v>
      </c>
      <c r="D85" s="131" t="s">
        <v>153</v>
      </c>
      <c r="E85" s="131" t="s">
        <v>152</v>
      </c>
      <c r="F85" s="131" t="s">
        <v>153</v>
      </c>
      <c r="G85" s="131">
        <v>-0.13</v>
      </c>
      <c r="H85" s="424" t="s">
        <v>515</v>
      </c>
      <c r="I85" s="525" t="s">
        <v>33</v>
      </c>
      <c r="J85" s="621" t="s">
        <v>511</v>
      </c>
      <c r="K85" s="122">
        <f>VLOOKUP(J85,References!$B$7:$F$252,5,FALSE)</f>
        <v>36</v>
      </c>
      <c r="L85" s="194"/>
      <c r="M85" s="194"/>
    </row>
    <row r="86" spans="1:13" x14ac:dyDescent="0.2">
      <c r="A86" s="143" t="s">
        <v>157</v>
      </c>
      <c r="B86" s="131" t="s">
        <v>158</v>
      </c>
      <c r="C86" s="153">
        <v>250.09</v>
      </c>
      <c r="D86" s="131" t="s">
        <v>159</v>
      </c>
      <c r="E86" s="131" t="s">
        <v>158</v>
      </c>
      <c r="F86" s="131" t="s">
        <v>159</v>
      </c>
      <c r="G86" s="131">
        <v>-0.49</v>
      </c>
      <c r="H86" s="424" t="s">
        <v>515</v>
      </c>
      <c r="I86" s="525" t="s">
        <v>33</v>
      </c>
      <c r="J86" s="621" t="s">
        <v>511</v>
      </c>
      <c r="K86" s="122">
        <f>VLOOKUP(J86,References!$B$7:$F$252,5,FALSE)</f>
        <v>36</v>
      </c>
      <c r="L86" s="194"/>
      <c r="M86" s="194"/>
    </row>
    <row r="87" spans="1:13" x14ac:dyDescent="0.2">
      <c r="A87" s="868" t="s">
        <v>163</v>
      </c>
      <c r="B87" s="869" t="s">
        <v>164</v>
      </c>
      <c r="C87" s="832">
        <v>300.10000000000002</v>
      </c>
      <c r="D87" s="832" t="s">
        <v>165</v>
      </c>
      <c r="E87" s="149" t="s">
        <v>164</v>
      </c>
      <c r="F87" s="58" t="s">
        <v>165</v>
      </c>
      <c r="G87" s="338">
        <v>0.14000000000000001</v>
      </c>
      <c r="H87" s="58" t="s">
        <v>571</v>
      </c>
      <c r="I87" s="58" t="s">
        <v>33</v>
      </c>
      <c r="J87" s="30" t="s">
        <v>952</v>
      </c>
      <c r="K87" s="100">
        <f>VLOOKUP(J87,References!$B$7:$F$252,5,FALSE)</f>
        <v>120</v>
      </c>
    </row>
    <row r="88" spans="1:13" x14ac:dyDescent="0.2">
      <c r="A88" s="868"/>
      <c r="B88" s="869"/>
      <c r="C88" s="832"/>
      <c r="D88" s="832"/>
      <c r="E88" s="149" t="s">
        <v>164</v>
      </c>
      <c r="F88" s="58" t="s">
        <v>165</v>
      </c>
      <c r="G88" s="338">
        <v>-3.94</v>
      </c>
      <c r="H88" s="58" t="s">
        <v>522</v>
      </c>
      <c r="I88" s="58" t="s">
        <v>33</v>
      </c>
      <c r="J88" s="30" t="s">
        <v>523</v>
      </c>
      <c r="K88" s="100">
        <f>VLOOKUP(J88,References!$B$7:$F$252,5,FALSE)</f>
        <v>127</v>
      </c>
    </row>
    <row r="89" spans="1:13" x14ac:dyDescent="0.2">
      <c r="A89" s="868"/>
      <c r="B89" s="869"/>
      <c r="C89" s="832"/>
      <c r="D89" s="832"/>
      <c r="E89" s="149" t="s">
        <v>164</v>
      </c>
      <c r="F89" s="58" t="s">
        <v>165</v>
      </c>
      <c r="G89" s="58" t="s">
        <v>958</v>
      </c>
      <c r="H89" s="58" t="s">
        <v>27</v>
      </c>
      <c r="I89" s="58" t="s">
        <v>33</v>
      </c>
      <c r="J89" s="30" t="s">
        <v>951</v>
      </c>
      <c r="K89" s="100">
        <f>VLOOKUP(J89,References!$B$7:$F$252,5,FALSE)</f>
        <v>125</v>
      </c>
    </row>
    <row r="90" spans="1:13" x14ac:dyDescent="0.2">
      <c r="A90" s="868"/>
      <c r="B90" s="869"/>
      <c r="C90" s="832"/>
      <c r="D90" s="832"/>
      <c r="E90" s="149" t="s">
        <v>164</v>
      </c>
      <c r="F90" s="58" t="s">
        <v>165</v>
      </c>
      <c r="G90" s="180">
        <v>0.14000000000000001</v>
      </c>
      <c r="H90" s="58" t="s">
        <v>571</v>
      </c>
      <c r="I90" s="58" t="s">
        <v>33</v>
      </c>
      <c r="J90" s="30" t="s">
        <v>45</v>
      </c>
      <c r="K90" s="122">
        <f>VLOOKUP(J90,References!$B$7:$F$252,5,FALSE)</f>
        <v>10</v>
      </c>
    </row>
    <row r="91" spans="1:13" x14ac:dyDescent="0.2">
      <c r="A91" s="157" t="s">
        <v>170</v>
      </c>
      <c r="B91" s="152" t="s">
        <v>171</v>
      </c>
      <c r="C91" s="153">
        <v>350.1</v>
      </c>
      <c r="D91" s="153" t="s">
        <v>172</v>
      </c>
      <c r="E91" s="152" t="s">
        <v>171</v>
      </c>
      <c r="F91" s="131" t="s">
        <v>172</v>
      </c>
      <c r="G91" s="131">
        <v>-1.77</v>
      </c>
      <c r="H91" s="131" t="s">
        <v>515</v>
      </c>
      <c r="I91" s="131" t="s">
        <v>33</v>
      </c>
      <c r="J91" s="42" t="s">
        <v>511</v>
      </c>
      <c r="K91" s="122">
        <f>VLOOKUP(J91,References!$B$7:$F$252,5,FALSE)</f>
        <v>36</v>
      </c>
    </row>
    <row r="92" spans="1:13" x14ac:dyDescent="0.2">
      <c r="A92" s="868" t="s">
        <v>176</v>
      </c>
      <c r="B92" s="869" t="s">
        <v>177</v>
      </c>
      <c r="C92" s="832">
        <v>400.1</v>
      </c>
      <c r="D92" s="832" t="s">
        <v>178</v>
      </c>
      <c r="E92" s="149" t="s">
        <v>177</v>
      </c>
      <c r="F92" s="58" t="s">
        <v>178</v>
      </c>
      <c r="G92" s="338">
        <v>0.14000000000000001</v>
      </c>
      <c r="H92" s="58" t="s">
        <v>571</v>
      </c>
      <c r="I92" s="58" t="s">
        <v>33</v>
      </c>
      <c r="J92" s="30" t="s">
        <v>952</v>
      </c>
      <c r="K92" s="100">
        <f>VLOOKUP(J92,References!$B$7:$F$252,5,FALSE)</f>
        <v>120</v>
      </c>
    </row>
    <row r="93" spans="1:13" x14ac:dyDescent="0.2">
      <c r="A93" s="868"/>
      <c r="B93" s="869"/>
      <c r="C93" s="832"/>
      <c r="D93" s="832"/>
      <c r="E93" s="149" t="s">
        <v>177</v>
      </c>
      <c r="F93" s="58" t="s">
        <v>178</v>
      </c>
      <c r="G93" s="338">
        <v>-3.45</v>
      </c>
      <c r="H93" s="58" t="s">
        <v>522</v>
      </c>
      <c r="I93" s="58" t="s">
        <v>33</v>
      </c>
      <c r="J93" s="30" t="s">
        <v>523</v>
      </c>
      <c r="K93" s="100">
        <f>VLOOKUP(J93,References!$B$7:$F$252,5,FALSE)</f>
        <v>127</v>
      </c>
    </row>
    <row r="94" spans="1:13" x14ac:dyDescent="0.2">
      <c r="A94" s="868"/>
      <c r="B94" s="869"/>
      <c r="C94" s="832"/>
      <c r="D94" s="832"/>
      <c r="E94" s="149" t="s">
        <v>177</v>
      </c>
      <c r="F94" s="58" t="s">
        <v>178</v>
      </c>
      <c r="G94" s="58" t="s">
        <v>958</v>
      </c>
      <c r="H94" s="58" t="s">
        <v>27</v>
      </c>
      <c r="I94" s="58" t="s">
        <v>33</v>
      </c>
      <c r="J94" s="30" t="s">
        <v>951</v>
      </c>
      <c r="K94" s="100">
        <f>VLOOKUP(J94,References!$B$7:$F$252,5,FALSE)</f>
        <v>125</v>
      </c>
    </row>
    <row r="95" spans="1:13" x14ac:dyDescent="0.2">
      <c r="A95" s="868"/>
      <c r="B95" s="869"/>
      <c r="C95" s="832"/>
      <c r="D95" s="832"/>
      <c r="E95" s="149" t="s">
        <v>177</v>
      </c>
      <c r="F95" s="58" t="s">
        <v>178</v>
      </c>
      <c r="G95" s="180">
        <v>0.14000000000000001</v>
      </c>
      <c r="H95" s="58" t="s">
        <v>571</v>
      </c>
      <c r="I95" s="58" t="s">
        <v>33</v>
      </c>
      <c r="J95" s="30" t="s">
        <v>45</v>
      </c>
      <c r="K95" s="122">
        <f>VLOOKUP(J95,References!$B$7:$F$252,5,FALSE)</f>
        <v>10</v>
      </c>
    </row>
    <row r="96" spans="1:13" x14ac:dyDescent="0.2">
      <c r="A96" s="157" t="s">
        <v>182</v>
      </c>
      <c r="B96" s="152" t="s">
        <v>183</v>
      </c>
      <c r="C96" s="153">
        <v>450.1</v>
      </c>
      <c r="D96" s="153" t="s">
        <v>184</v>
      </c>
      <c r="E96" s="152" t="s">
        <v>183</v>
      </c>
      <c r="F96" s="131" t="s">
        <v>184</v>
      </c>
      <c r="G96" s="131">
        <v>-1.81</v>
      </c>
      <c r="H96" s="131" t="s">
        <v>515</v>
      </c>
      <c r="I96" s="131" t="s">
        <v>33</v>
      </c>
      <c r="J96" s="42" t="s">
        <v>511</v>
      </c>
      <c r="K96" s="122">
        <f>VLOOKUP(J96,References!$B$7:$F$252,5,FALSE)</f>
        <v>36</v>
      </c>
    </row>
    <row r="97" spans="1:11" x14ac:dyDescent="0.2">
      <c r="A97" s="868" t="s">
        <v>188</v>
      </c>
      <c r="B97" s="869" t="s">
        <v>189</v>
      </c>
      <c r="C97" s="832">
        <v>500.1</v>
      </c>
      <c r="D97" s="832" t="s">
        <v>190</v>
      </c>
      <c r="E97" s="149" t="s">
        <v>189</v>
      </c>
      <c r="F97" s="58" t="s">
        <v>190</v>
      </c>
      <c r="G97" s="338">
        <v>0.14000000000000001</v>
      </c>
      <c r="H97" s="58" t="s">
        <v>571</v>
      </c>
      <c r="I97" s="58" t="s">
        <v>33</v>
      </c>
      <c r="J97" s="30" t="s">
        <v>952</v>
      </c>
      <c r="K97" s="100">
        <f>VLOOKUP(J97,References!$B$7:$F$252,5,FALSE)</f>
        <v>120</v>
      </c>
    </row>
    <row r="98" spans="1:11" x14ac:dyDescent="0.2">
      <c r="A98" s="868"/>
      <c r="B98" s="869"/>
      <c r="C98" s="832"/>
      <c r="D98" s="832"/>
      <c r="E98" s="149" t="s">
        <v>189</v>
      </c>
      <c r="F98" s="58" t="s">
        <v>190</v>
      </c>
      <c r="G98" s="338">
        <v>1.1599999999999999</v>
      </c>
      <c r="H98" s="58" t="s">
        <v>27</v>
      </c>
      <c r="I98" s="58" t="s">
        <v>33</v>
      </c>
      <c r="J98" s="30" t="s">
        <v>955</v>
      </c>
      <c r="K98" s="100">
        <f>VLOOKUP(J98,References!$B$7:$F$252,5,FALSE)</f>
        <v>62</v>
      </c>
    </row>
    <row r="99" spans="1:11" x14ac:dyDescent="0.2">
      <c r="A99" s="868"/>
      <c r="B99" s="869"/>
      <c r="C99" s="832"/>
      <c r="D99" s="832"/>
      <c r="E99" s="149" t="s">
        <v>189</v>
      </c>
      <c r="F99" s="58" t="s">
        <v>190</v>
      </c>
      <c r="G99" s="134" t="s">
        <v>956</v>
      </c>
      <c r="H99" s="58" t="s">
        <v>27</v>
      </c>
      <c r="I99" s="58" t="s">
        <v>33</v>
      </c>
      <c r="J99" s="30" t="s">
        <v>957</v>
      </c>
      <c r="K99" s="100">
        <f>VLOOKUP(J99,References!$B$7:$F$252,5,FALSE)</f>
        <v>23</v>
      </c>
    </row>
    <row r="100" spans="1:11" x14ac:dyDescent="0.2">
      <c r="A100" s="868"/>
      <c r="B100" s="869"/>
      <c r="C100" s="832"/>
      <c r="D100" s="832"/>
      <c r="E100" s="149" t="s">
        <v>189</v>
      </c>
      <c r="F100" s="58" t="s">
        <v>190</v>
      </c>
      <c r="G100" s="180">
        <v>-3.41</v>
      </c>
      <c r="H100" s="58" t="s">
        <v>522</v>
      </c>
      <c r="I100" s="58" t="s">
        <v>33</v>
      </c>
      <c r="J100" s="30" t="s">
        <v>523</v>
      </c>
      <c r="K100" s="100">
        <f>VLOOKUP(J100,References!$B$7:$F$252,5,FALSE)</f>
        <v>127</v>
      </c>
    </row>
    <row r="101" spans="1:11" x14ac:dyDescent="0.2">
      <c r="A101" s="868"/>
      <c r="B101" s="869"/>
      <c r="C101" s="832"/>
      <c r="D101" s="832"/>
      <c r="E101" s="149" t="s">
        <v>189</v>
      </c>
      <c r="F101" s="58" t="s">
        <v>190</v>
      </c>
      <c r="G101" s="58" t="s">
        <v>958</v>
      </c>
      <c r="H101" s="58" t="s">
        <v>27</v>
      </c>
      <c r="I101" s="58" t="s">
        <v>33</v>
      </c>
      <c r="J101" s="30" t="s">
        <v>951</v>
      </c>
      <c r="K101" s="100">
        <f>VLOOKUP(J101,References!$B$7:$F$252,5,FALSE)</f>
        <v>125</v>
      </c>
    </row>
    <row r="102" spans="1:11" x14ac:dyDescent="0.2">
      <c r="A102" s="868"/>
      <c r="B102" s="869"/>
      <c r="C102" s="832"/>
      <c r="D102" s="832"/>
      <c r="E102" s="149" t="s">
        <v>189</v>
      </c>
      <c r="F102" s="58" t="s">
        <v>190</v>
      </c>
      <c r="G102" s="180" t="s">
        <v>959</v>
      </c>
      <c r="H102" s="58" t="s">
        <v>33</v>
      </c>
      <c r="I102" s="58" t="s">
        <v>33</v>
      </c>
      <c r="J102" s="30" t="s">
        <v>606</v>
      </c>
      <c r="K102" s="100">
        <f>VLOOKUP(J102,References!$B$7:$F$252,5,FALSE)</f>
        <v>135</v>
      </c>
    </row>
    <row r="103" spans="1:11" x14ac:dyDescent="0.2">
      <c r="A103" s="868"/>
      <c r="B103" s="869"/>
      <c r="C103" s="832"/>
      <c r="D103" s="832"/>
      <c r="E103" s="149" t="s">
        <v>189</v>
      </c>
      <c r="F103" s="58" t="s">
        <v>190</v>
      </c>
      <c r="G103" s="180">
        <v>0.14000000000000001</v>
      </c>
      <c r="H103" s="58" t="s">
        <v>571</v>
      </c>
      <c r="I103" s="58" t="s">
        <v>33</v>
      </c>
      <c r="J103" s="30" t="s">
        <v>45</v>
      </c>
      <c r="K103" s="100">
        <f>VLOOKUP(J103,References!$B$7:$F$252,5,FALSE)</f>
        <v>10</v>
      </c>
    </row>
    <row r="104" spans="1:11" x14ac:dyDescent="0.2">
      <c r="A104" s="868"/>
      <c r="B104" s="869"/>
      <c r="C104" s="832"/>
      <c r="D104" s="832"/>
      <c r="E104" s="149" t="s">
        <v>189</v>
      </c>
      <c r="F104" s="58" t="s">
        <v>190</v>
      </c>
      <c r="G104" s="289" t="s">
        <v>959</v>
      </c>
      <c r="H104" s="58" t="s">
        <v>27</v>
      </c>
      <c r="I104" s="58" t="s">
        <v>33</v>
      </c>
      <c r="J104" s="30" t="s">
        <v>47</v>
      </c>
      <c r="K104" s="122">
        <f>VLOOKUP(J104,References!$B$7:$F$252,5,FALSE)</f>
        <v>3</v>
      </c>
    </row>
    <row r="105" spans="1:11" x14ac:dyDescent="0.2">
      <c r="A105" s="157" t="s">
        <v>195</v>
      </c>
      <c r="B105" s="152" t="s">
        <v>196</v>
      </c>
      <c r="C105" s="153">
        <v>550.1</v>
      </c>
      <c r="D105" s="153" t="s">
        <v>197</v>
      </c>
      <c r="E105" s="152" t="s">
        <v>196</v>
      </c>
      <c r="F105" s="131" t="s">
        <v>197</v>
      </c>
      <c r="G105" s="131">
        <v>-1.68</v>
      </c>
      <c r="H105" s="131" t="s">
        <v>515</v>
      </c>
      <c r="I105" s="131" t="s">
        <v>33</v>
      </c>
      <c r="J105" s="42" t="s">
        <v>511</v>
      </c>
      <c r="K105" s="122">
        <f>VLOOKUP(J105,References!$B$7:$F$252,5,FALSE)</f>
        <v>36</v>
      </c>
    </row>
    <row r="106" spans="1:11" x14ac:dyDescent="0.2">
      <c r="A106" s="867" t="s">
        <v>201</v>
      </c>
      <c r="B106" s="850" t="s">
        <v>202</v>
      </c>
      <c r="C106" s="833">
        <v>600.1</v>
      </c>
      <c r="D106" s="833" t="s">
        <v>203</v>
      </c>
      <c r="E106" s="150" t="s">
        <v>202</v>
      </c>
      <c r="F106" s="57" t="s">
        <v>203</v>
      </c>
      <c r="G106" s="241">
        <v>0.14000000000000001</v>
      </c>
      <c r="H106" s="57" t="s">
        <v>571</v>
      </c>
      <c r="I106" s="57" t="s">
        <v>33</v>
      </c>
      <c r="J106" s="41" t="s">
        <v>952</v>
      </c>
      <c r="K106" s="121">
        <f>VLOOKUP(J106,References!$B$7:$F$252,5,FALSE)</f>
        <v>120</v>
      </c>
    </row>
    <row r="107" spans="1:11" x14ac:dyDescent="0.2">
      <c r="A107" s="879"/>
      <c r="B107" s="851"/>
      <c r="C107" s="834"/>
      <c r="D107" s="834"/>
      <c r="E107" s="182" t="s">
        <v>202</v>
      </c>
      <c r="F107" s="59" t="s">
        <v>203</v>
      </c>
      <c r="G107" s="524">
        <v>-2.86</v>
      </c>
      <c r="H107" s="59" t="s">
        <v>522</v>
      </c>
      <c r="I107" s="59" t="s">
        <v>33</v>
      </c>
      <c r="J107" s="37" t="s">
        <v>523</v>
      </c>
      <c r="K107" s="122">
        <f>VLOOKUP(J107,References!$B$7:$F$252,5,FALSE)</f>
        <v>127</v>
      </c>
    </row>
    <row r="108" spans="1:11" ht="17" thickBot="1" x14ac:dyDescent="0.25">
      <c r="A108" s="243" t="s">
        <v>207</v>
      </c>
      <c r="B108" s="145" t="s">
        <v>208</v>
      </c>
      <c r="C108" s="145">
        <v>700.2</v>
      </c>
      <c r="D108" s="145" t="s">
        <v>209</v>
      </c>
      <c r="E108" s="58" t="s">
        <v>208</v>
      </c>
      <c r="F108" s="58" t="s">
        <v>209</v>
      </c>
      <c r="G108" s="180">
        <v>-1.38</v>
      </c>
      <c r="H108" s="178" t="s">
        <v>515</v>
      </c>
      <c r="I108" s="58" t="s">
        <v>33</v>
      </c>
      <c r="J108" s="600" t="s">
        <v>511</v>
      </c>
      <c r="K108" s="100">
        <f>VLOOKUP(J108,References!$B$7:$F$252,5,FALSE)</f>
        <v>36</v>
      </c>
    </row>
    <row r="109" spans="1:11" ht="17" thickBot="1" x14ac:dyDescent="0.25">
      <c r="A109" s="443" t="s">
        <v>210</v>
      </c>
      <c r="B109" s="175" t="s">
        <v>211</v>
      </c>
      <c r="C109" s="79"/>
      <c r="D109" s="79"/>
      <c r="E109" s="79"/>
      <c r="F109" s="79"/>
      <c r="G109" s="79"/>
      <c r="H109" s="79"/>
      <c r="I109" s="79"/>
      <c r="J109" s="79"/>
      <c r="K109" s="80"/>
    </row>
    <row r="110" spans="1:11" x14ac:dyDescent="0.2">
      <c r="A110" s="829" t="s">
        <v>212</v>
      </c>
      <c r="B110" s="831" t="s">
        <v>213</v>
      </c>
      <c r="C110" s="831">
        <v>178.1</v>
      </c>
      <c r="D110" s="831" t="s">
        <v>214</v>
      </c>
      <c r="E110" s="135" t="s">
        <v>213</v>
      </c>
      <c r="F110" s="135" t="s">
        <v>214</v>
      </c>
      <c r="G110" s="135">
        <v>1.82</v>
      </c>
      <c r="H110" s="135" t="s">
        <v>515</v>
      </c>
      <c r="I110" s="135" t="s">
        <v>33</v>
      </c>
      <c r="J110" s="614" t="s">
        <v>511</v>
      </c>
      <c r="K110" s="99">
        <f>VLOOKUP(J110,References!$B$7:$F$252,5,FALSE)</f>
        <v>36</v>
      </c>
    </row>
    <row r="111" spans="1:11" x14ac:dyDescent="0.2">
      <c r="A111" s="830"/>
      <c r="B111" s="832"/>
      <c r="C111" s="832"/>
      <c r="D111" s="832"/>
      <c r="E111" s="58" t="s">
        <v>213</v>
      </c>
      <c r="F111" s="58" t="s">
        <v>214</v>
      </c>
      <c r="G111" s="58">
        <v>3.1</v>
      </c>
      <c r="H111" s="58" t="s">
        <v>571</v>
      </c>
      <c r="I111" s="58" t="s">
        <v>33</v>
      </c>
      <c r="J111" s="27" t="s">
        <v>948</v>
      </c>
      <c r="K111" s="100">
        <f>VLOOKUP(J111,References!$B$7:$F$252,5,FALSE)</f>
        <v>42</v>
      </c>
    </row>
    <row r="112" spans="1:11" x14ac:dyDescent="0.2">
      <c r="A112" s="847"/>
      <c r="B112" s="834"/>
      <c r="C112" s="834"/>
      <c r="D112" s="834"/>
      <c r="E112" s="59" t="s">
        <v>213</v>
      </c>
      <c r="F112" s="59" t="s">
        <v>214</v>
      </c>
      <c r="G112" s="59">
        <v>3.4</v>
      </c>
      <c r="H112" s="59" t="s">
        <v>522</v>
      </c>
      <c r="I112" s="59" t="s">
        <v>33</v>
      </c>
      <c r="J112" s="621" t="s">
        <v>948</v>
      </c>
      <c r="K112" s="122">
        <f>VLOOKUP(J112,References!$B$7:$F$252,5,FALSE)</f>
        <v>42</v>
      </c>
    </row>
    <row r="113" spans="1:18" x14ac:dyDescent="0.2">
      <c r="A113" s="830" t="s">
        <v>215</v>
      </c>
      <c r="B113" s="832" t="s">
        <v>216</v>
      </c>
      <c r="C113" s="832">
        <v>242.1</v>
      </c>
      <c r="D113" s="832" t="s">
        <v>217</v>
      </c>
      <c r="E113" s="58" t="s">
        <v>216</v>
      </c>
      <c r="F113" s="58" t="s">
        <v>217</v>
      </c>
      <c r="G113" s="350">
        <v>3.06</v>
      </c>
      <c r="H113" s="433" t="s">
        <v>515</v>
      </c>
      <c r="I113" s="134" t="s">
        <v>33</v>
      </c>
      <c r="J113" s="600" t="s">
        <v>511</v>
      </c>
      <c r="K113" s="100">
        <f>VLOOKUP(J113,References!$B$7:$F$252,5,FALSE)</f>
        <v>36</v>
      </c>
    </row>
    <row r="114" spans="1:18" x14ac:dyDescent="0.2">
      <c r="A114" s="847"/>
      <c r="B114" s="834"/>
      <c r="C114" s="834"/>
      <c r="D114" s="834"/>
      <c r="E114" s="59" t="s">
        <v>216</v>
      </c>
      <c r="F114" s="59" t="s">
        <v>217</v>
      </c>
      <c r="G114" s="799">
        <v>8</v>
      </c>
      <c r="H114" s="469" t="s">
        <v>514</v>
      </c>
      <c r="I114" s="195" t="s">
        <v>33</v>
      </c>
      <c r="J114" s="598" t="s">
        <v>511</v>
      </c>
      <c r="K114" s="122">
        <f>VLOOKUP(J114,References!$B$7:$F$252,5,FALSE)</f>
        <v>36</v>
      </c>
    </row>
    <row r="115" spans="1:18" x14ac:dyDescent="0.2">
      <c r="A115" s="295" t="s">
        <v>221</v>
      </c>
      <c r="B115" s="131" t="s">
        <v>222</v>
      </c>
      <c r="C115" s="153">
        <v>278.10000000000002</v>
      </c>
      <c r="D115" s="131" t="s">
        <v>223</v>
      </c>
      <c r="E115" s="131" t="s">
        <v>222</v>
      </c>
      <c r="F115" s="131" t="s">
        <v>223</v>
      </c>
      <c r="G115" s="183">
        <v>2.16</v>
      </c>
      <c r="H115" s="469" t="s">
        <v>515</v>
      </c>
      <c r="I115" s="195" t="s">
        <v>33</v>
      </c>
      <c r="J115" s="800" t="s">
        <v>511</v>
      </c>
      <c r="K115" s="124">
        <f>VLOOKUP(J115,References!$B$7:$F$252,5,FALSE)</f>
        <v>36</v>
      </c>
    </row>
    <row r="116" spans="1:18" x14ac:dyDescent="0.2">
      <c r="A116" s="246" t="s">
        <v>224</v>
      </c>
      <c r="B116" s="182" t="s">
        <v>225</v>
      </c>
      <c r="C116" s="183">
        <v>342.1</v>
      </c>
      <c r="D116" s="59" t="s">
        <v>226</v>
      </c>
      <c r="E116" s="182" t="s">
        <v>225</v>
      </c>
      <c r="F116" s="59" t="s">
        <v>226</v>
      </c>
      <c r="G116" s="183">
        <v>3.54</v>
      </c>
      <c r="H116" s="59" t="s">
        <v>515</v>
      </c>
      <c r="I116" s="59" t="s">
        <v>33</v>
      </c>
      <c r="J116" s="800" t="s">
        <v>511</v>
      </c>
      <c r="K116" s="124">
        <f>VLOOKUP(J116,References!$B$7:$F$252,5,FALSE)</f>
        <v>36</v>
      </c>
    </row>
    <row r="117" spans="1:18" x14ac:dyDescent="0.2">
      <c r="A117" s="867" t="s">
        <v>230</v>
      </c>
      <c r="B117" s="850" t="s">
        <v>231</v>
      </c>
      <c r="C117" s="843">
        <v>378.1</v>
      </c>
      <c r="D117" s="833" t="s">
        <v>232</v>
      </c>
      <c r="E117" s="149" t="s">
        <v>231</v>
      </c>
      <c r="F117" s="58" t="s">
        <v>232</v>
      </c>
      <c r="G117" s="178">
        <v>2.82</v>
      </c>
      <c r="H117" s="58" t="s">
        <v>571</v>
      </c>
      <c r="I117" s="58" t="s">
        <v>33</v>
      </c>
      <c r="J117" s="30" t="s">
        <v>533</v>
      </c>
      <c r="K117" s="121">
        <f>VLOOKUP(J117,References!$B$7:$F$252,5,FALSE)</f>
        <v>40</v>
      </c>
    </row>
    <row r="118" spans="1:18" x14ac:dyDescent="0.2">
      <c r="A118" s="868"/>
      <c r="B118" s="869"/>
      <c r="C118" s="841"/>
      <c r="D118" s="832"/>
      <c r="E118" s="149" t="s">
        <v>231</v>
      </c>
      <c r="F118" s="58" t="s">
        <v>232</v>
      </c>
      <c r="G118" s="58">
        <v>2.6</v>
      </c>
      <c r="H118" s="58" t="s">
        <v>571</v>
      </c>
      <c r="I118" s="58" t="s">
        <v>33</v>
      </c>
      <c r="J118" s="30" t="s">
        <v>948</v>
      </c>
      <c r="K118" s="100">
        <f>VLOOKUP(J118,References!$B$7:$F$252,5,FALSE)</f>
        <v>42</v>
      </c>
    </row>
    <row r="119" spans="1:18" x14ac:dyDescent="0.2">
      <c r="A119" s="879"/>
      <c r="B119" s="851"/>
      <c r="C119" s="842"/>
      <c r="D119" s="834"/>
      <c r="E119" s="182" t="s">
        <v>231</v>
      </c>
      <c r="F119" s="59" t="s">
        <v>232</v>
      </c>
      <c r="G119" s="58">
        <v>3.5</v>
      </c>
      <c r="H119" s="58" t="s">
        <v>522</v>
      </c>
      <c r="I119" s="58" t="s">
        <v>33</v>
      </c>
      <c r="J119" s="30" t="s">
        <v>948</v>
      </c>
      <c r="K119" s="122">
        <f>VLOOKUP(J119,References!$B$7:$F$252,5,FALSE)</f>
        <v>42</v>
      </c>
    </row>
    <row r="120" spans="1:18" x14ac:dyDescent="0.2">
      <c r="A120" s="849" t="s">
        <v>236</v>
      </c>
      <c r="B120" s="833" t="s">
        <v>237</v>
      </c>
      <c r="C120" s="843">
        <v>442.1</v>
      </c>
      <c r="D120" s="833" t="s">
        <v>238</v>
      </c>
      <c r="E120" s="151" t="s">
        <v>237</v>
      </c>
      <c r="F120" s="151" t="s">
        <v>238</v>
      </c>
      <c r="G120" s="181">
        <v>3.36</v>
      </c>
      <c r="H120" s="694" t="s">
        <v>515</v>
      </c>
      <c r="I120" s="57" t="s">
        <v>33</v>
      </c>
      <c r="J120" s="733" t="s">
        <v>511</v>
      </c>
      <c r="K120" s="121">
        <f>VLOOKUP(J120,References!$B$7:$F$252,5,FALSE)</f>
        <v>36</v>
      </c>
    </row>
    <row r="121" spans="1:18" x14ac:dyDescent="0.2">
      <c r="A121" s="847"/>
      <c r="B121" s="834"/>
      <c r="C121" s="842"/>
      <c r="D121" s="834"/>
      <c r="E121" s="239" t="s">
        <v>237</v>
      </c>
      <c r="F121" s="239" t="s">
        <v>238</v>
      </c>
      <c r="G121" s="799">
        <v>16</v>
      </c>
      <c r="H121" s="469" t="s">
        <v>514</v>
      </c>
      <c r="I121" s="59" t="s">
        <v>33</v>
      </c>
      <c r="J121" s="598" t="s">
        <v>511</v>
      </c>
      <c r="K121" s="122">
        <f>VLOOKUP(J121,References!$B$7:$F$252,5,FALSE)</f>
        <v>36</v>
      </c>
    </row>
    <row r="122" spans="1:18" s="2" customFormat="1" x14ac:dyDescent="0.2">
      <c r="A122" s="207" t="s">
        <v>242</v>
      </c>
      <c r="B122" s="153" t="s">
        <v>243</v>
      </c>
      <c r="C122" s="141">
        <v>477.1</v>
      </c>
      <c r="D122" s="153" t="s">
        <v>244</v>
      </c>
      <c r="E122" s="153" t="s">
        <v>243</v>
      </c>
      <c r="F122" s="153" t="s">
        <v>244</v>
      </c>
      <c r="G122" s="801">
        <v>2.69</v>
      </c>
      <c r="H122" s="525" t="s">
        <v>515</v>
      </c>
      <c r="I122" s="525" t="s">
        <v>33</v>
      </c>
      <c r="J122" s="800" t="s">
        <v>511</v>
      </c>
      <c r="K122" s="124">
        <f>VLOOKUP(J122,References!$B$7:$F$252,5,FALSE)</f>
        <v>36</v>
      </c>
      <c r="L122" s="444"/>
      <c r="M122" s="462"/>
      <c r="N122" s="438"/>
      <c r="O122" s="461"/>
      <c r="P122" s="438"/>
      <c r="Q122" s="3"/>
      <c r="R122" s="11"/>
    </row>
    <row r="123" spans="1:18" s="2" customFormat="1" x14ac:dyDescent="0.2">
      <c r="A123" s="839" t="s">
        <v>248</v>
      </c>
      <c r="B123" s="833" t="s">
        <v>249</v>
      </c>
      <c r="C123" s="843">
        <v>578.1</v>
      </c>
      <c r="D123" s="833" t="s">
        <v>250</v>
      </c>
      <c r="E123" s="151" t="s">
        <v>249</v>
      </c>
      <c r="F123" s="151" t="s">
        <v>250</v>
      </c>
      <c r="G123" s="802">
        <v>2.83</v>
      </c>
      <c r="H123" s="694" t="s">
        <v>515</v>
      </c>
      <c r="I123" s="694" t="s">
        <v>33</v>
      </c>
      <c r="J123" s="729" t="s">
        <v>511</v>
      </c>
      <c r="K123" s="121">
        <f>VLOOKUP(J123,References!$B$7:$F$252,5,FALSE)</f>
        <v>36</v>
      </c>
      <c r="L123" s="444"/>
      <c r="M123" s="462"/>
      <c r="N123" s="438"/>
      <c r="O123" s="461"/>
      <c r="P123" s="438"/>
      <c r="Q123" s="3"/>
      <c r="R123" s="11"/>
    </row>
    <row r="124" spans="1:18" s="2" customFormat="1" x14ac:dyDescent="0.2">
      <c r="A124" s="838"/>
      <c r="B124" s="832"/>
      <c r="C124" s="841"/>
      <c r="D124" s="832"/>
      <c r="E124" s="145" t="s">
        <v>249</v>
      </c>
      <c r="F124" s="145" t="s">
        <v>250</v>
      </c>
      <c r="G124" s="784">
        <v>2.5</v>
      </c>
      <c r="H124" s="433" t="s">
        <v>571</v>
      </c>
      <c r="I124" s="433" t="s">
        <v>33</v>
      </c>
      <c r="J124" s="27" t="s">
        <v>948</v>
      </c>
      <c r="K124" s="100">
        <f>VLOOKUP(J124,References!$B$7:$F$252,5,FALSE)</f>
        <v>42</v>
      </c>
      <c r="L124" s="444"/>
      <c r="M124" s="462"/>
      <c r="N124" s="438"/>
      <c r="O124" s="461"/>
      <c r="P124" s="438"/>
      <c r="Q124" s="3"/>
      <c r="R124" s="11"/>
    </row>
    <row r="125" spans="1:18" s="2" customFormat="1" x14ac:dyDescent="0.2">
      <c r="A125" s="840"/>
      <c r="B125" s="834"/>
      <c r="C125" s="842"/>
      <c r="D125" s="834"/>
      <c r="E125" s="239" t="s">
        <v>249</v>
      </c>
      <c r="F125" s="239" t="s">
        <v>250</v>
      </c>
      <c r="G125" s="778">
        <v>3.5</v>
      </c>
      <c r="H125" s="469" t="s">
        <v>522</v>
      </c>
      <c r="I125" s="469" t="s">
        <v>33</v>
      </c>
      <c r="J125" s="621" t="s">
        <v>948</v>
      </c>
      <c r="K125" s="122">
        <f>VLOOKUP(J125,References!$B$7:$F$252,5,FALSE)</f>
        <v>42</v>
      </c>
      <c r="L125" s="444"/>
      <c r="M125" s="462"/>
      <c r="N125" s="438"/>
      <c r="O125" s="461"/>
      <c r="P125" s="438"/>
      <c r="Q125" s="3"/>
      <c r="R125" s="11"/>
    </row>
    <row r="126" spans="1:18" s="2" customFormat="1" ht="17" thickBot="1" x14ac:dyDescent="0.25">
      <c r="A126" s="586" t="s">
        <v>252</v>
      </c>
      <c r="B126" s="145" t="s">
        <v>253</v>
      </c>
      <c r="C126" s="133">
        <v>678.1</v>
      </c>
      <c r="D126" s="145" t="s">
        <v>254</v>
      </c>
      <c r="E126" s="145" t="s">
        <v>253</v>
      </c>
      <c r="F126" s="145" t="s">
        <v>254</v>
      </c>
      <c r="G126" s="784">
        <v>2.83</v>
      </c>
      <c r="H126" s="433" t="s">
        <v>515</v>
      </c>
      <c r="I126" s="433" t="s">
        <v>33</v>
      </c>
      <c r="J126" s="621" t="s">
        <v>511</v>
      </c>
      <c r="K126" s="122">
        <f>VLOOKUP(J126,References!$B$7:$F$252,5,FALSE)</f>
        <v>36</v>
      </c>
      <c r="L126" s="444"/>
      <c r="M126" s="462"/>
      <c r="N126" s="438"/>
      <c r="O126" s="461"/>
      <c r="P126" s="438"/>
      <c r="Q126" s="3"/>
      <c r="R126" s="11"/>
    </row>
    <row r="127" spans="1:18" ht="17" thickBot="1" x14ac:dyDescent="0.25">
      <c r="A127" s="78" t="s">
        <v>255</v>
      </c>
      <c r="B127" s="175" t="s">
        <v>256</v>
      </c>
      <c r="C127" s="79"/>
      <c r="D127" s="79"/>
      <c r="E127" s="79"/>
      <c r="F127" s="79"/>
      <c r="G127" s="79"/>
      <c r="H127" s="79"/>
      <c r="I127" s="79"/>
      <c r="J127" s="79"/>
      <c r="K127" s="80"/>
    </row>
    <row r="128" spans="1:18" x14ac:dyDescent="0.2">
      <c r="A128" s="186" t="s">
        <v>257</v>
      </c>
      <c r="B128" s="149" t="s">
        <v>258</v>
      </c>
      <c r="C128" s="58">
        <v>328.2</v>
      </c>
      <c r="D128" s="58" t="s">
        <v>259</v>
      </c>
      <c r="E128" s="149" t="s">
        <v>258</v>
      </c>
      <c r="F128" s="58" t="s">
        <v>259</v>
      </c>
      <c r="G128" s="58">
        <v>0.93</v>
      </c>
      <c r="H128" s="58" t="s">
        <v>515</v>
      </c>
      <c r="I128" s="58" t="s">
        <v>33</v>
      </c>
      <c r="J128" s="30" t="s">
        <v>511</v>
      </c>
      <c r="K128" s="99">
        <f>VLOOKUP(J128,References!$B$7:$F$252,5,FALSE)</f>
        <v>36</v>
      </c>
    </row>
    <row r="129" spans="1:20" x14ac:dyDescent="0.2">
      <c r="A129" s="236" t="s">
        <v>260</v>
      </c>
      <c r="B129" s="150" t="s">
        <v>261</v>
      </c>
      <c r="C129" s="57">
        <v>428.2</v>
      </c>
      <c r="D129" s="57" t="s">
        <v>262</v>
      </c>
      <c r="E129" s="150" t="s">
        <v>261</v>
      </c>
      <c r="F129" s="57" t="s">
        <v>262</v>
      </c>
      <c r="G129" s="241">
        <v>0.36</v>
      </c>
      <c r="H129" s="57" t="s">
        <v>571</v>
      </c>
      <c r="I129" s="57" t="s">
        <v>33</v>
      </c>
      <c r="J129" s="41" t="s">
        <v>952</v>
      </c>
      <c r="K129" s="124">
        <f>VLOOKUP(J129,References!$B$7:$F$252,5,FALSE)</f>
        <v>120</v>
      </c>
    </row>
    <row r="130" spans="1:20" x14ac:dyDescent="0.2">
      <c r="A130" s="157" t="s">
        <v>266</v>
      </c>
      <c r="B130" s="152" t="s">
        <v>267</v>
      </c>
      <c r="C130" s="131">
        <v>528.20000000000005</v>
      </c>
      <c r="D130" s="131" t="s">
        <v>268</v>
      </c>
      <c r="E130" s="152" t="s">
        <v>267</v>
      </c>
      <c r="F130" s="131" t="s">
        <v>268</v>
      </c>
      <c r="G130" s="131">
        <v>1.33</v>
      </c>
      <c r="H130" s="131" t="s">
        <v>515</v>
      </c>
      <c r="I130" s="131" t="s">
        <v>33</v>
      </c>
      <c r="J130" s="42" t="s">
        <v>511</v>
      </c>
      <c r="K130" s="124">
        <f>VLOOKUP(J130,References!$B$7:$F$252,5,FALSE)</f>
        <v>36</v>
      </c>
    </row>
    <row r="131" spans="1:20" s="47" customFormat="1" ht="16.5" customHeight="1" thickBot="1" x14ac:dyDescent="0.25">
      <c r="A131" s="104" t="s">
        <v>272</v>
      </c>
      <c r="B131" s="240" t="s">
        <v>273</v>
      </c>
      <c r="C131" s="105">
        <v>628.20000000000005</v>
      </c>
      <c r="D131" s="105" t="s">
        <v>275</v>
      </c>
      <c r="E131" s="240" t="s">
        <v>273</v>
      </c>
      <c r="F131" s="105" t="s">
        <v>275</v>
      </c>
      <c r="G131" s="58">
        <v>1.48</v>
      </c>
      <c r="H131" s="803" t="s">
        <v>515</v>
      </c>
      <c r="I131" s="804" t="s">
        <v>33</v>
      </c>
      <c r="J131" s="805" t="s">
        <v>511</v>
      </c>
      <c r="K131" s="122">
        <f>VLOOKUP(J131,References!$B$7:$F$252,5,FALSE)</f>
        <v>36</v>
      </c>
      <c r="L131" s="531"/>
      <c r="M131" s="543"/>
      <c r="N131" s="544"/>
      <c r="O131" s="542"/>
      <c r="P131" s="58"/>
    </row>
    <row r="132" spans="1:20" ht="17" thickBot="1" x14ac:dyDescent="0.25">
      <c r="A132" s="78" t="s">
        <v>276</v>
      </c>
      <c r="B132" s="175" t="s">
        <v>277</v>
      </c>
      <c r="C132" s="79"/>
      <c r="D132" s="79"/>
      <c r="E132" s="79"/>
      <c r="F132" s="79"/>
      <c r="G132" s="79"/>
      <c r="H132" s="79"/>
      <c r="I132" s="79"/>
      <c r="J132" s="79"/>
      <c r="K132" s="80"/>
    </row>
    <row r="133" spans="1:20" x14ac:dyDescent="0.2">
      <c r="A133" s="735" t="s">
        <v>278</v>
      </c>
      <c r="B133" s="156" t="s">
        <v>279</v>
      </c>
      <c r="C133" s="156">
        <v>299.10000000000002</v>
      </c>
      <c r="D133" s="156" t="s">
        <v>280</v>
      </c>
      <c r="E133" s="156" t="s">
        <v>279</v>
      </c>
      <c r="F133" s="156" t="s">
        <v>280</v>
      </c>
      <c r="G133" s="135">
        <v>5.98</v>
      </c>
      <c r="H133" s="135" t="s">
        <v>27</v>
      </c>
      <c r="I133" s="135" t="s">
        <v>33</v>
      </c>
      <c r="J133" s="201" t="s">
        <v>47</v>
      </c>
      <c r="K133" s="99">
        <f>VLOOKUP(J133,References!$B$7:$F$252,5,FALSE)</f>
        <v>3</v>
      </c>
    </row>
    <row r="134" spans="1:20" x14ac:dyDescent="0.2">
      <c r="A134" s="478" t="s">
        <v>283</v>
      </c>
      <c r="B134" s="153" t="s">
        <v>284</v>
      </c>
      <c r="C134" s="153">
        <v>399.1</v>
      </c>
      <c r="D134" s="153" t="s">
        <v>285</v>
      </c>
      <c r="E134" s="153" t="s">
        <v>284</v>
      </c>
      <c r="F134" s="153" t="s">
        <v>285</v>
      </c>
      <c r="G134" s="131">
        <v>7.05</v>
      </c>
      <c r="H134" s="131" t="s">
        <v>515</v>
      </c>
      <c r="I134" s="131" t="s">
        <v>33</v>
      </c>
      <c r="J134" s="42" t="s">
        <v>511</v>
      </c>
      <c r="K134" s="124">
        <f>VLOOKUP(J134,References!$B$7:$F$252,5,FALSE)</f>
        <v>36</v>
      </c>
    </row>
    <row r="135" spans="1:20" x14ac:dyDescent="0.2">
      <c r="A135" s="868" t="s">
        <v>290</v>
      </c>
      <c r="B135" s="869" t="s">
        <v>291</v>
      </c>
      <c r="C135" s="832">
        <v>499.1</v>
      </c>
      <c r="D135" s="832" t="s">
        <v>293</v>
      </c>
      <c r="E135" s="134" t="s">
        <v>291</v>
      </c>
      <c r="F135" s="58" t="s">
        <v>293</v>
      </c>
      <c r="G135" s="134">
        <v>6.24</v>
      </c>
      <c r="H135" s="58" t="s">
        <v>571</v>
      </c>
      <c r="I135" s="58" t="s">
        <v>33</v>
      </c>
      <c r="J135" s="30" t="s">
        <v>45</v>
      </c>
      <c r="K135" s="100">
        <f>VLOOKUP(J135,References!$B$7:$F$252,5,FALSE)</f>
        <v>10</v>
      </c>
    </row>
    <row r="136" spans="1:20" x14ac:dyDescent="0.2">
      <c r="A136" s="868"/>
      <c r="B136" s="869"/>
      <c r="C136" s="832"/>
      <c r="D136" s="832"/>
      <c r="E136" s="134" t="s">
        <v>291</v>
      </c>
      <c r="F136" s="58" t="s">
        <v>293</v>
      </c>
      <c r="G136" s="134">
        <v>6.52</v>
      </c>
      <c r="H136" s="58" t="s">
        <v>571</v>
      </c>
      <c r="I136" s="58" t="s">
        <v>33</v>
      </c>
      <c r="J136" s="30" t="s">
        <v>952</v>
      </c>
      <c r="K136" s="122">
        <f>VLOOKUP(J136,References!$B$7:$F$252,5,FALSE)</f>
        <v>120</v>
      </c>
    </row>
    <row r="137" spans="1:20" x14ac:dyDescent="0.2">
      <c r="A137" s="157" t="s">
        <v>298</v>
      </c>
      <c r="B137" s="152" t="s">
        <v>299</v>
      </c>
      <c r="C137" s="153">
        <v>513.20000000000005</v>
      </c>
      <c r="D137" s="153" t="s">
        <v>301</v>
      </c>
      <c r="E137" s="142" t="s">
        <v>299</v>
      </c>
      <c r="F137" s="131" t="s">
        <v>301</v>
      </c>
      <c r="G137" s="142">
        <v>8.27</v>
      </c>
      <c r="H137" s="131" t="s">
        <v>515</v>
      </c>
      <c r="I137" s="131" t="s">
        <v>33</v>
      </c>
      <c r="J137" s="42" t="s">
        <v>511</v>
      </c>
      <c r="K137" s="124">
        <f>VLOOKUP(J137,References!$B$7:$F$252,5,FALSE)</f>
        <v>36</v>
      </c>
    </row>
    <row r="138" spans="1:20" x14ac:dyDescent="0.2">
      <c r="A138" s="186" t="s">
        <v>305</v>
      </c>
      <c r="B138" s="149" t="s">
        <v>306</v>
      </c>
      <c r="C138" s="153">
        <v>527.20000000000005</v>
      </c>
      <c r="D138" s="153" t="s">
        <v>308</v>
      </c>
      <c r="E138" s="142" t="s">
        <v>306</v>
      </c>
      <c r="F138" s="131" t="s">
        <v>308</v>
      </c>
      <c r="G138" s="142">
        <v>9.5</v>
      </c>
      <c r="H138" s="131" t="s">
        <v>27</v>
      </c>
      <c r="I138" s="131" t="s">
        <v>33</v>
      </c>
      <c r="J138" s="42" t="s">
        <v>47</v>
      </c>
      <c r="K138" s="124">
        <f>VLOOKUP(J138,References!$B$7:$F$252,5,FALSE)</f>
        <v>3</v>
      </c>
    </row>
    <row r="139" spans="1:20" ht="32" x14ac:dyDescent="0.2">
      <c r="A139" s="157" t="s">
        <v>315</v>
      </c>
      <c r="B139" s="152" t="s">
        <v>316</v>
      </c>
      <c r="C139" s="153">
        <v>651.23</v>
      </c>
      <c r="D139" s="153" t="s">
        <v>317</v>
      </c>
      <c r="E139" s="152" t="s">
        <v>316</v>
      </c>
      <c r="F139" s="153" t="s">
        <v>317</v>
      </c>
      <c r="G139" s="182">
        <v>-9.3699999999999992</v>
      </c>
      <c r="H139" s="239" t="s">
        <v>514</v>
      </c>
      <c r="I139" s="239" t="s">
        <v>33</v>
      </c>
      <c r="J139" s="374" t="s">
        <v>511</v>
      </c>
      <c r="K139" s="235">
        <f>VLOOKUP(J139,References!$B$7:$F$252,5,FALSE)</f>
        <v>36</v>
      </c>
    </row>
    <row r="140" spans="1:20" ht="33" thickBot="1" x14ac:dyDescent="0.25">
      <c r="A140" s="187" t="s">
        <v>321</v>
      </c>
      <c r="B140" s="188" t="s">
        <v>322</v>
      </c>
      <c r="C140" s="146">
        <v>1204.46</v>
      </c>
      <c r="D140" s="146" t="s">
        <v>323</v>
      </c>
      <c r="E140" s="188" t="s">
        <v>322</v>
      </c>
      <c r="F140" s="146" t="s">
        <v>323</v>
      </c>
      <c r="G140" s="149">
        <v>-9.19</v>
      </c>
      <c r="H140" s="145" t="s">
        <v>514</v>
      </c>
      <c r="I140" s="145" t="s">
        <v>33</v>
      </c>
      <c r="J140" s="272" t="s">
        <v>511</v>
      </c>
      <c r="K140" s="393">
        <f>VLOOKUP(J140,References!$B$7:$F$252,5,FALSE)</f>
        <v>36</v>
      </c>
    </row>
    <row r="141" spans="1:20" ht="17" thickBot="1" x14ac:dyDescent="0.25">
      <c r="A141" s="83" t="s">
        <v>326</v>
      </c>
      <c r="B141" s="129" t="s">
        <v>327</v>
      </c>
      <c r="C141" s="79"/>
      <c r="D141" s="79"/>
      <c r="E141" s="79"/>
      <c r="F141" s="79"/>
      <c r="G141" s="79"/>
      <c r="H141" s="79"/>
      <c r="I141" s="79"/>
      <c r="J141" s="79"/>
      <c r="K141" s="80"/>
    </row>
    <row r="142" spans="1:20" s="2" customFormat="1" ht="15" x14ac:dyDescent="0.2">
      <c r="A142" s="595" t="s">
        <v>328</v>
      </c>
      <c r="B142" s="296" t="s">
        <v>329</v>
      </c>
      <c r="C142" s="466">
        <v>343.2</v>
      </c>
      <c r="D142" s="466" t="s">
        <v>330</v>
      </c>
      <c r="E142" s="296" t="s">
        <v>329</v>
      </c>
      <c r="F142" s="466" t="s">
        <v>330</v>
      </c>
      <c r="G142" s="296">
        <v>8.15</v>
      </c>
      <c r="H142" s="296" t="s">
        <v>515</v>
      </c>
      <c r="I142" s="466" t="s">
        <v>33</v>
      </c>
      <c r="J142" s="297" t="s">
        <v>511</v>
      </c>
      <c r="K142" s="173">
        <f>VLOOKUP(J142,References!$B$7:$F$252,5,FALSE)</f>
        <v>36</v>
      </c>
      <c r="L142" s="3"/>
      <c r="M142" s="11"/>
      <c r="N142" s="11"/>
      <c r="O142" s="11"/>
      <c r="P142" s="11"/>
      <c r="Q142" s="11"/>
      <c r="R142" s="11"/>
      <c r="S142" s="11"/>
      <c r="T142" s="11"/>
    </row>
    <row r="143" spans="1:20" x14ac:dyDescent="0.2">
      <c r="A143" s="243" t="s">
        <v>332</v>
      </c>
      <c r="B143" s="145" t="s">
        <v>333</v>
      </c>
      <c r="C143" s="145">
        <v>543.20000000000005</v>
      </c>
      <c r="D143" s="145" t="s">
        <v>335</v>
      </c>
      <c r="E143" s="58" t="s">
        <v>333</v>
      </c>
      <c r="F143" s="58" t="s">
        <v>335</v>
      </c>
      <c r="G143" s="58">
        <v>8.42</v>
      </c>
      <c r="H143" s="58" t="s">
        <v>515</v>
      </c>
      <c r="I143" s="58" t="s">
        <v>33</v>
      </c>
      <c r="J143" s="30" t="s">
        <v>511</v>
      </c>
      <c r="K143" s="100">
        <f>VLOOKUP(J143,References!$B$7:$F$252,5,FALSE)</f>
        <v>36</v>
      </c>
    </row>
    <row r="144" spans="1:20" x14ac:dyDescent="0.2">
      <c r="A144" s="157" t="s">
        <v>337</v>
      </c>
      <c r="B144" s="152" t="s">
        <v>338</v>
      </c>
      <c r="C144" s="153">
        <v>557.20000000000005</v>
      </c>
      <c r="D144" s="153" t="s">
        <v>340</v>
      </c>
      <c r="E144" s="142" t="s">
        <v>338</v>
      </c>
      <c r="F144" s="131" t="s">
        <v>340</v>
      </c>
      <c r="G144" s="142">
        <v>6.16</v>
      </c>
      <c r="H144" s="131" t="s">
        <v>515</v>
      </c>
      <c r="I144" s="131" t="s">
        <v>33</v>
      </c>
      <c r="J144" s="42" t="s">
        <v>511</v>
      </c>
      <c r="K144" s="124">
        <f>VLOOKUP(J144,References!$B$7:$F$252,5,FALSE)</f>
        <v>36</v>
      </c>
    </row>
    <row r="145" spans="1:17" ht="17" thickBot="1" x14ac:dyDescent="0.25">
      <c r="A145" s="186" t="s">
        <v>345</v>
      </c>
      <c r="B145" s="149" t="s">
        <v>346</v>
      </c>
      <c r="C145" s="145">
        <v>571.29999999999995</v>
      </c>
      <c r="D145" s="145" t="s">
        <v>348</v>
      </c>
      <c r="E145" s="134" t="s">
        <v>346</v>
      </c>
      <c r="F145" s="58" t="s">
        <v>348</v>
      </c>
      <c r="G145" s="134">
        <v>5.42</v>
      </c>
      <c r="H145" s="58" t="s">
        <v>515</v>
      </c>
      <c r="I145" s="58" t="s">
        <v>33</v>
      </c>
      <c r="J145" s="30" t="s">
        <v>511</v>
      </c>
      <c r="K145" s="122">
        <f>VLOOKUP(J145,References!$B$7:$F$252,5,FALSE)</f>
        <v>36</v>
      </c>
    </row>
    <row r="146" spans="1:17" ht="17" thickBot="1" x14ac:dyDescent="0.25">
      <c r="A146" s="83" t="s">
        <v>353</v>
      </c>
      <c r="B146" s="129" t="s">
        <v>354</v>
      </c>
      <c r="C146" s="79"/>
      <c r="D146" s="79"/>
      <c r="E146" s="79"/>
      <c r="F146" s="79"/>
      <c r="G146" s="79"/>
      <c r="H146" s="79"/>
      <c r="I146" s="79"/>
      <c r="J146" s="79"/>
      <c r="K146" s="80"/>
    </row>
    <row r="147" spans="1:17" x14ac:dyDescent="0.2">
      <c r="A147" s="243" t="s">
        <v>355</v>
      </c>
      <c r="B147" s="145" t="s">
        <v>356</v>
      </c>
      <c r="C147" s="145">
        <v>557.20000000000005</v>
      </c>
      <c r="D147" s="145" t="s">
        <v>358</v>
      </c>
      <c r="E147" s="58" t="s">
        <v>356</v>
      </c>
      <c r="F147" s="58" t="s">
        <v>358</v>
      </c>
      <c r="G147" s="58">
        <v>2.59</v>
      </c>
      <c r="H147" s="58" t="s">
        <v>515</v>
      </c>
      <c r="I147" s="58" t="s">
        <v>33</v>
      </c>
      <c r="J147" s="30" t="s">
        <v>511</v>
      </c>
      <c r="K147" s="99">
        <f>VLOOKUP(J147,References!$B$7:$F$252,5,FALSE)</f>
        <v>36</v>
      </c>
    </row>
    <row r="148" spans="1:17" x14ac:dyDescent="0.2">
      <c r="A148" s="191" t="s">
        <v>362</v>
      </c>
      <c r="B148" s="153" t="s">
        <v>363</v>
      </c>
      <c r="C148" s="153">
        <v>571.20000000000005</v>
      </c>
      <c r="D148" s="153" t="s">
        <v>365</v>
      </c>
      <c r="E148" s="131" t="s">
        <v>363</v>
      </c>
      <c r="F148" s="131" t="s">
        <v>365</v>
      </c>
      <c r="G148" s="131">
        <v>-0.36</v>
      </c>
      <c r="H148" s="131" t="s">
        <v>515</v>
      </c>
      <c r="I148" s="131" t="s">
        <v>33</v>
      </c>
      <c r="J148" s="42" t="s">
        <v>511</v>
      </c>
      <c r="K148" s="124">
        <f>VLOOKUP(J148,References!$B$7:$F$252,5,FALSE)</f>
        <v>36</v>
      </c>
    </row>
    <row r="149" spans="1:17" ht="17" thickBot="1" x14ac:dyDescent="0.25">
      <c r="A149" s="243" t="s">
        <v>369</v>
      </c>
      <c r="B149" s="145" t="s">
        <v>370</v>
      </c>
      <c r="C149" s="145">
        <v>585.20000000000005</v>
      </c>
      <c r="D149" s="145" t="s">
        <v>372</v>
      </c>
      <c r="E149" s="58" t="s">
        <v>370</v>
      </c>
      <c r="F149" s="58" t="s">
        <v>372</v>
      </c>
      <c r="G149" s="58">
        <v>-0.56999999999999995</v>
      </c>
      <c r="H149" s="58" t="s">
        <v>515</v>
      </c>
      <c r="I149" s="58" t="s">
        <v>33</v>
      </c>
      <c r="J149" s="30" t="s">
        <v>511</v>
      </c>
      <c r="K149" s="122">
        <f>VLOOKUP(J149,References!$B$7:$F$252,5,FALSE)</f>
        <v>36</v>
      </c>
    </row>
    <row r="150" spans="1:17" ht="17" thickBot="1" x14ac:dyDescent="0.25">
      <c r="A150" s="78" t="s">
        <v>376</v>
      </c>
      <c r="B150" s="175" t="s">
        <v>377</v>
      </c>
      <c r="C150" s="79"/>
      <c r="D150" s="79"/>
      <c r="E150" s="79"/>
      <c r="F150" s="79"/>
      <c r="G150" s="79"/>
      <c r="H150" s="79"/>
      <c r="I150" s="79"/>
      <c r="J150" s="79"/>
      <c r="K150" s="80"/>
    </row>
    <row r="151" spans="1:17" x14ac:dyDescent="0.2">
      <c r="A151" s="246" t="s">
        <v>378</v>
      </c>
      <c r="B151" s="182" t="s">
        <v>379</v>
      </c>
      <c r="C151" s="239">
        <v>264.10000000000002</v>
      </c>
      <c r="D151" s="239" t="s">
        <v>380</v>
      </c>
      <c r="E151" s="195" t="s">
        <v>379</v>
      </c>
      <c r="F151" s="59" t="s">
        <v>380</v>
      </c>
      <c r="G151" s="59">
        <v>9.75</v>
      </c>
      <c r="H151" s="59" t="s">
        <v>515</v>
      </c>
      <c r="I151" s="59" t="s">
        <v>33</v>
      </c>
      <c r="J151" s="37" t="s">
        <v>511</v>
      </c>
      <c r="K151" s="99">
        <f>VLOOKUP(J151,References!$B$7:$F$252,5,FALSE)</f>
        <v>36</v>
      </c>
    </row>
    <row r="152" spans="1:17" x14ac:dyDescent="0.2">
      <c r="A152" s="157" t="s">
        <v>386</v>
      </c>
      <c r="B152" s="152" t="s">
        <v>387</v>
      </c>
      <c r="C152" s="153">
        <v>364.1</v>
      </c>
      <c r="D152" s="153" t="s">
        <v>388</v>
      </c>
      <c r="E152" s="142" t="s">
        <v>387</v>
      </c>
      <c r="F152" s="131" t="s">
        <v>388</v>
      </c>
      <c r="G152" s="131">
        <v>9.74</v>
      </c>
      <c r="H152" s="131" t="s">
        <v>515</v>
      </c>
      <c r="I152" s="131" t="s">
        <v>33</v>
      </c>
      <c r="J152" s="42" t="s">
        <v>511</v>
      </c>
      <c r="K152" s="124">
        <f>VLOOKUP(J152,References!$B$7:$F$252,5,FALSE)</f>
        <v>36</v>
      </c>
    </row>
    <row r="153" spans="1:17" x14ac:dyDescent="0.2">
      <c r="A153" s="936" t="s">
        <v>395</v>
      </c>
      <c r="B153" s="869" t="s">
        <v>396</v>
      </c>
      <c r="C153" s="832">
        <v>464.1</v>
      </c>
      <c r="D153" s="832" t="s">
        <v>397</v>
      </c>
      <c r="E153" s="134" t="s">
        <v>396</v>
      </c>
      <c r="F153" s="58" t="s">
        <v>397</v>
      </c>
      <c r="G153" s="58">
        <v>14.19</v>
      </c>
      <c r="H153" s="58" t="s">
        <v>571</v>
      </c>
      <c r="I153" s="58" t="s">
        <v>33</v>
      </c>
      <c r="J153" s="30" t="s">
        <v>533</v>
      </c>
      <c r="K153" s="100">
        <f>VLOOKUP(J153,References!$B$7:$F$252,5,FALSE)</f>
        <v>40</v>
      </c>
    </row>
    <row r="154" spans="1:17" x14ac:dyDescent="0.2">
      <c r="A154" s="937"/>
      <c r="B154" s="851"/>
      <c r="C154" s="834"/>
      <c r="D154" s="834"/>
      <c r="E154" s="195" t="s">
        <v>396</v>
      </c>
      <c r="F154" s="59" t="s">
        <v>397</v>
      </c>
      <c r="G154" s="59">
        <v>9.73</v>
      </c>
      <c r="H154" s="59" t="s">
        <v>515</v>
      </c>
      <c r="I154" s="59" t="s">
        <v>33</v>
      </c>
      <c r="J154" s="37" t="s">
        <v>511</v>
      </c>
      <c r="K154" s="122">
        <f>VLOOKUP(J154,References!$B$7:$F$252,5,FALSE)</f>
        <v>36</v>
      </c>
    </row>
    <row r="155" spans="1:17" ht="17" thickBot="1" x14ac:dyDescent="0.25">
      <c r="A155" s="187" t="s">
        <v>406</v>
      </c>
      <c r="B155" s="188" t="s">
        <v>407</v>
      </c>
      <c r="C155" s="146">
        <v>564.1</v>
      </c>
      <c r="D155" s="146" t="s">
        <v>408</v>
      </c>
      <c r="E155" s="140" t="s">
        <v>407</v>
      </c>
      <c r="F155" s="138" t="s">
        <v>408</v>
      </c>
      <c r="G155" s="138">
        <v>9.8699999999999992</v>
      </c>
      <c r="H155" s="138" t="s">
        <v>515</v>
      </c>
      <c r="I155" s="138" t="s">
        <v>33</v>
      </c>
      <c r="J155" s="210" t="s">
        <v>511</v>
      </c>
      <c r="K155" s="122">
        <f>VLOOKUP(J155,References!$B$7:$F$252,5,FALSE)</f>
        <v>36</v>
      </c>
    </row>
    <row r="156" spans="1:17" ht="17" thickBot="1" x14ac:dyDescent="0.25">
      <c r="A156" s="237" t="s">
        <v>415</v>
      </c>
      <c r="B156" s="129" t="s">
        <v>416</v>
      </c>
      <c r="C156" s="82"/>
      <c r="D156" s="82"/>
      <c r="E156" s="79"/>
      <c r="F156" s="79"/>
      <c r="G156" s="79"/>
      <c r="H156" s="79"/>
      <c r="I156" s="79"/>
      <c r="J156" s="79"/>
      <c r="K156" s="80"/>
      <c r="L156" s="58"/>
      <c r="M156" s="58"/>
      <c r="N156" s="58"/>
      <c r="O156" s="58"/>
      <c r="P156" s="58"/>
      <c r="Q156" s="58"/>
    </row>
    <row r="157" spans="1:17" s="2" customFormat="1" x14ac:dyDescent="0.2">
      <c r="A157" s="595" t="s">
        <v>417</v>
      </c>
      <c r="B157" s="296" t="s">
        <v>418</v>
      </c>
      <c r="C157" s="466">
        <v>180.03</v>
      </c>
      <c r="D157" s="296" t="s">
        <v>419</v>
      </c>
      <c r="E157" s="296" t="s">
        <v>418</v>
      </c>
      <c r="F157" s="296" t="s">
        <v>419</v>
      </c>
      <c r="G157" s="296">
        <v>-0.35</v>
      </c>
      <c r="H157" s="712" t="s">
        <v>515</v>
      </c>
      <c r="I157" s="596" t="s">
        <v>33</v>
      </c>
      <c r="J157" s="425" t="s">
        <v>511</v>
      </c>
      <c r="K157" s="173">
        <f>VLOOKUP(J157,References!$B$7:$F$252,5,FALSE)</f>
        <v>36</v>
      </c>
      <c r="L157" s="30"/>
      <c r="M157" s="30"/>
    </row>
    <row r="158" spans="1:17" ht="18" x14ac:dyDescent="0.2">
      <c r="A158" s="868" t="s">
        <v>423</v>
      </c>
      <c r="B158" s="869" t="s">
        <v>424</v>
      </c>
      <c r="C158" s="832">
        <v>330.19</v>
      </c>
      <c r="D158" s="832" t="s">
        <v>426</v>
      </c>
      <c r="E158" s="134" t="s">
        <v>541</v>
      </c>
      <c r="F158" s="58" t="s">
        <v>426</v>
      </c>
      <c r="G158" s="58">
        <v>-0.06</v>
      </c>
      <c r="H158" s="58" t="s">
        <v>571</v>
      </c>
      <c r="I158" s="58" t="s">
        <v>33</v>
      </c>
      <c r="J158" s="600" t="s">
        <v>606</v>
      </c>
      <c r="K158" s="100">
        <f>VLOOKUP(J158,References!$B$7:$F$252,5,FALSE)</f>
        <v>135</v>
      </c>
    </row>
    <row r="159" spans="1:17" ht="18" x14ac:dyDescent="0.2">
      <c r="A159" s="868"/>
      <c r="B159" s="869"/>
      <c r="C159" s="832"/>
      <c r="D159" s="832"/>
      <c r="E159" s="134" t="s">
        <v>541</v>
      </c>
      <c r="F159" s="58" t="s">
        <v>426</v>
      </c>
      <c r="G159" s="58" t="s">
        <v>956</v>
      </c>
      <c r="H159" s="58" t="s">
        <v>514</v>
      </c>
      <c r="I159" s="58" t="s">
        <v>33</v>
      </c>
      <c r="J159" s="600" t="s">
        <v>606</v>
      </c>
      <c r="K159" s="100">
        <f>VLOOKUP(J159,References!$B$7:$F$252,5,FALSE)</f>
        <v>135</v>
      </c>
    </row>
    <row r="160" spans="1:17" ht="18" x14ac:dyDescent="0.2">
      <c r="A160" s="868"/>
      <c r="B160" s="869"/>
      <c r="C160" s="832"/>
      <c r="D160" s="832"/>
      <c r="E160" s="134" t="s">
        <v>541</v>
      </c>
      <c r="F160" s="58" t="s">
        <v>426</v>
      </c>
      <c r="G160" s="134" t="s">
        <v>956</v>
      </c>
      <c r="H160" s="58" t="s">
        <v>513</v>
      </c>
      <c r="I160" s="58" t="s">
        <v>33</v>
      </c>
      <c r="J160" s="600" t="s">
        <v>606</v>
      </c>
      <c r="K160" s="100">
        <f>VLOOKUP(J160,References!$B$7:$F$252,5,FALSE)</f>
        <v>135</v>
      </c>
    </row>
    <row r="161" spans="1:17" ht="18" x14ac:dyDescent="0.2">
      <c r="A161" s="868"/>
      <c r="B161" s="869"/>
      <c r="C161" s="832"/>
      <c r="D161" s="832"/>
      <c r="E161" s="134" t="s">
        <v>541</v>
      </c>
      <c r="F161" s="58" t="s">
        <v>426</v>
      </c>
      <c r="G161" s="134">
        <v>2.8</v>
      </c>
      <c r="H161" s="58" t="s">
        <v>33</v>
      </c>
      <c r="I161" s="58" t="s">
        <v>33</v>
      </c>
      <c r="J161" s="600" t="s">
        <v>429</v>
      </c>
      <c r="K161" s="100">
        <f>VLOOKUP(J161,References!$B$7:$F$252,5,FALSE)</f>
        <v>50</v>
      </c>
    </row>
    <row r="162" spans="1:17" ht="18" x14ac:dyDescent="0.2">
      <c r="A162" s="868"/>
      <c r="B162" s="869"/>
      <c r="C162" s="832"/>
      <c r="D162" s="832"/>
      <c r="E162" s="134" t="s">
        <v>541</v>
      </c>
      <c r="F162" s="58" t="s">
        <v>426</v>
      </c>
      <c r="G162" s="134">
        <v>-0.77</v>
      </c>
      <c r="H162" s="58" t="s">
        <v>522</v>
      </c>
      <c r="I162" s="58" t="s">
        <v>33</v>
      </c>
      <c r="J162" s="600" t="s">
        <v>960</v>
      </c>
      <c r="K162" s="100">
        <f>VLOOKUP(J162,References!$B$7:$F$252,5,FALSE)</f>
        <v>51</v>
      </c>
    </row>
    <row r="163" spans="1:17" ht="18" x14ac:dyDescent="0.2">
      <c r="A163" s="879"/>
      <c r="B163" s="851"/>
      <c r="C163" s="834"/>
      <c r="D163" s="834"/>
      <c r="E163" s="195" t="s">
        <v>541</v>
      </c>
      <c r="F163" s="59" t="s">
        <v>426</v>
      </c>
      <c r="G163" s="195">
        <v>2.84</v>
      </c>
      <c r="H163" s="59" t="s">
        <v>27</v>
      </c>
      <c r="I163" s="59" t="s">
        <v>33</v>
      </c>
      <c r="J163" s="598" t="s">
        <v>47</v>
      </c>
      <c r="K163" s="122">
        <f>VLOOKUP(J163,References!$B$7:$F$252,5,FALSE)</f>
        <v>3</v>
      </c>
    </row>
    <row r="164" spans="1:17" ht="17" x14ac:dyDescent="0.2">
      <c r="A164" s="839" t="s">
        <v>432</v>
      </c>
      <c r="B164" s="833" t="s">
        <v>433</v>
      </c>
      <c r="C164" s="833">
        <v>347.1</v>
      </c>
      <c r="D164" s="833" t="s">
        <v>435</v>
      </c>
      <c r="E164" s="145" t="s">
        <v>433</v>
      </c>
      <c r="F164" s="145" t="s">
        <v>435</v>
      </c>
      <c r="G164" s="134">
        <v>3.82</v>
      </c>
      <c r="H164" s="58" t="s">
        <v>27</v>
      </c>
      <c r="I164" s="58">
        <v>20</v>
      </c>
      <c r="J164" s="600" t="s">
        <v>436</v>
      </c>
      <c r="K164" s="100">
        <f>VLOOKUP(J164,References!$B$7:$F$252,5,FALSE)</f>
        <v>32</v>
      </c>
    </row>
    <row r="165" spans="1:17" ht="17" x14ac:dyDescent="0.2">
      <c r="A165" s="838"/>
      <c r="B165" s="832"/>
      <c r="C165" s="832"/>
      <c r="D165" s="832"/>
      <c r="E165" s="145" t="s">
        <v>433</v>
      </c>
      <c r="F165" s="145" t="s">
        <v>435</v>
      </c>
      <c r="G165" s="134">
        <v>-0.73</v>
      </c>
      <c r="H165" s="58" t="s">
        <v>515</v>
      </c>
      <c r="I165" s="58" t="s">
        <v>33</v>
      </c>
      <c r="J165" s="600" t="s">
        <v>511</v>
      </c>
      <c r="K165" s="100">
        <f>VLOOKUP(J165,References!$B$7:$F$252,5,FALSE)</f>
        <v>36</v>
      </c>
    </row>
    <row r="166" spans="1:17" ht="17" x14ac:dyDescent="0.2">
      <c r="A166" s="840"/>
      <c r="B166" s="834"/>
      <c r="C166" s="834"/>
      <c r="D166" s="834"/>
      <c r="E166" s="239" t="s">
        <v>433</v>
      </c>
      <c r="F166" s="239" t="s">
        <v>435</v>
      </c>
      <c r="G166" s="195">
        <v>0.06</v>
      </c>
      <c r="H166" s="59" t="s">
        <v>571</v>
      </c>
      <c r="I166" s="59" t="s">
        <v>33</v>
      </c>
      <c r="J166" s="598" t="s">
        <v>533</v>
      </c>
      <c r="K166" s="122">
        <f>VLOOKUP(J166,References!$B$7:$F$252,5,FALSE)</f>
        <v>40</v>
      </c>
    </row>
    <row r="167" spans="1:17" x14ac:dyDescent="0.2">
      <c r="A167" s="136" t="s">
        <v>437</v>
      </c>
      <c r="B167" s="58" t="s">
        <v>438</v>
      </c>
      <c r="C167" s="133">
        <v>230</v>
      </c>
      <c r="D167" s="58" t="s">
        <v>440</v>
      </c>
      <c r="E167" s="58" t="s">
        <v>438</v>
      </c>
      <c r="F167" s="58" t="s">
        <v>440</v>
      </c>
      <c r="G167" s="58">
        <v>0.89</v>
      </c>
      <c r="H167" s="58" t="s">
        <v>515</v>
      </c>
      <c r="I167" s="58" t="s">
        <v>33</v>
      </c>
      <c r="J167" s="30" t="s">
        <v>511</v>
      </c>
      <c r="K167" s="124">
        <f>VLOOKUP(J167,References!$B$7:$F$252,5,FALSE)</f>
        <v>36</v>
      </c>
    </row>
    <row r="168" spans="1:17" x14ac:dyDescent="0.2">
      <c r="A168" s="143" t="s">
        <v>444</v>
      </c>
      <c r="B168" s="131" t="s">
        <v>445</v>
      </c>
      <c r="C168" s="141">
        <v>280</v>
      </c>
      <c r="D168" s="131" t="s">
        <v>447</v>
      </c>
      <c r="E168" s="131" t="s">
        <v>445</v>
      </c>
      <c r="F168" s="131" t="s">
        <v>447</v>
      </c>
      <c r="G168" s="131">
        <v>-0.28999999999999998</v>
      </c>
      <c r="H168" s="131" t="s">
        <v>515</v>
      </c>
      <c r="I168" s="131" t="s">
        <v>33</v>
      </c>
      <c r="J168" s="42" t="s">
        <v>511</v>
      </c>
      <c r="K168" s="124">
        <f>VLOOKUP(J168,References!$B$7:$F$252,5,FALSE)</f>
        <v>36</v>
      </c>
    </row>
    <row r="169" spans="1:17" ht="17" thickBot="1" x14ac:dyDescent="0.25">
      <c r="A169" s="137" t="s">
        <v>451</v>
      </c>
      <c r="B169" s="138" t="s">
        <v>452</v>
      </c>
      <c r="C169" s="139">
        <v>296</v>
      </c>
      <c r="D169" s="138" t="s">
        <v>454</v>
      </c>
      <c r="E169" s="138" t="s">
        <v>452</v>
      </c>
      <c r="F169" s="138" t="s">
        <v>454</v>
      </c>
      <c r="G169" s="138">
        <v>-1.91</v>
      </c>
      <c r="H169" s="138" t="s">
        <v>515</v>
      </c>
      <c r="I169" s="138" t="s">
        <v>33</v>
      </c>
      <c r="J169" s="210" t="s">
        <v>511</v>
      </c>
      <c r="K169" s="101">
        <f>VLOOKUP(J169,References!$B$7:$F$252,5,FALSE)</f>
        <v>36</v>
      </c>
    </row>
    <row r="170" spans="1:17" s="2" customFormat="1" thickBot="1" x14ac:dyDescent="0.25">
      <c r="A170" s="130" t="s">
        <v>458</v>
      </c>
      <c r="B170" s="129" t="s">
        <v>459</v>
      </c>
      <c r="C170" s="165"/>
      <c r="D170" s="165"/>
      <c r="E170" s="162"/>
      <c r="F170" s="75"/>
      <c r="G170" s="75"/>
      <c r="H170" s="106"/>
      <c r="I170" s="106"/>
      <c r="J170" s="106"/>
      <c r="K170" s="196"/>
      <c r="L170" s="160"/>
      <c r="M170" s="161"/>
      <c r="N170" s="159"/>
      <c r="O170" s="159"/>
      <c r="P170" s="159"/>
      <c r="Q170" s="159"/>
    </row>
    <row r="171" spans="1:17" ht="32" x14ac:dyDescent="0.2">
      <c r="A171" s="154" t="s">
        <v>460</v>
      </c>
      <c r="B171" s="155" t="s">
        <v>461</v>
      </c>
      <c r="C171" s="156">
        <v>632.6</v>
      </c>
      <c r="D171" s="156" t="s">
        <v>463</v>
      </c>
      <c r="E171" s="155" t="s">
        <v>544</v>
      </c>
      <c r="F171" s="156" t="s">
        <v>463</v>
      </c>
      <c r="G171" s="156">
        <v>1.96</v>
      </c>
      <c r="H171" s="156" t="s">
        <v>515</v>
      </c>
      <c r="I171" s="156" t="s">
        <v>33</v>
      </c>
      <c r="J171" s="735" t="s">
        <v>511</v>
      </c>
      <c r="K171" s="234">
        <f>VLOOKUP(J171,References!$B$7:$F$252,5,FALSE)</f>
        <v>36</v>
      </c>
    </row>
    <row r="172" spans="1:17" x14ac:dyDescent="0.2">
      <c r="A172" s="867" t="s">
        <v>464</v>
      </c>
      <c r="B172" s="850" t="s">
        <v>465</v>
      </c>
      <c r="C172" s="833">
        <v>532.6</v>
      </c>
      <c r="D172" s="833" t="s">
        <v>467</v>
      </c>
      <c r="E172" s="200" t="s">
        <v>545</v>
      </c>
      <c r="F172" s="57" t="s">
        <v>467</v>
      </c>
      <c r="G172" s="57" t="s">
        <v>956</v>
      </c>
      <c r="H172" s="57" t="s">
        <v>571</v>
      </c>
      <c r="I172" s="57" t="s">
        <v>33</v>
      </c>
      <c r="J172" s="41" t="s">
        <v>606</v>
      </c>
      <c r="K172" s="100">
        <f>VLOOKUP(J172,References!$B$7:$F$252,5,FALSE)</f>
        <v>135</v>
      </c>
    </row>
    <row r="173" spans="1:17" x14ac:dyDescent="0.2">
      <c r="A173" s="868"/>
      <c r="B173" s="869"/>
      <c r="C173" s="832"/>
      <c r="D173" s="832"/>
      <c r="E173" s="134" t="s">
        <v>545</v>
      </c>
      <c r="F173" s="58" t="s">
        <v>467</v>
      </c>
      <c r="G173" s="58" t="s">
        <v>956</v>
      </c>
      <c r="H173" s="58" t="s">
        <v>514</v>
      </c>
      <c r="I173" s="58" t="s">
        <v>33</v>
      </c>
      <c r="J173" s="30" t="s">
        <v>606</v>
      </c>
      <c r="K173" s="100">
        <f>VLOOKUP(J173,References!$B$7:$F$252,5,FALSE)</f>
        <v>135</v>
      </c>
    </row>
    <row r="174" spans="1:17" x14ac:dyDescent="0.2">
      <c r="A174" s="879"/>
      <c r="B174" s="851"/>
      <c r="C174" s="834"/>
      <c r="D174" s="834"/>
      <c r="E174" s="195" t="s">
        <v>545</v>
      </c>
      <c r="F174" s="59" t="s">
        <v>467</v>
      </c>
      <c r="G174" s="195" t="s">
        <v>956</v>
      </c>
      <c r="H174" s="59" t="s">
        <v>513</v>
      </c>
      <c r="I174" s="59" t="s">
        <v>33</v>
      </c>
      <c r="J174" s="37" t="s">
        <v>606</v>
      </c>
      <c r="K174" s="122">
        <f>VLOOKUP(J174,References!$B$7:$F$252,5,FALSE)</f>
        <v>135</v>
      </c>
    </row>
    <row r="175" spans="1:17" ht="17" thickBot="1" x14ac:dyDescent="0.25">
      <c r="A175" s="137" t="s">
        <v>468</v>
      </c>
      <c r="B175" s="138" t="s">
        <v>469</v>
      </c>
      <c r="C175" s="146">
        <v>316.10000000000002</v>
      </c>
      <c r="D175" s="138" t="s">
        <v>471</v>
      </c>
      <c r="E175" s="138" t="s">
        <v>469</v>
      </c>
      <c r="F175" s="138" t="s">
        <v>471</v>
      </c>
      <c r="G175" s="138">
        <v>1.17</v>
      </c>
      <c r="H175" s="138" t="s">
        <v>515</v>
      </c>
      <c r="I175" s="138" t="s">
        <v>33</v>
      </c>
      <c r="J175" s="210" t="s">
        <v>511</v>
      </c>
      <c r="K175" s="101">
        <f>VLOOKUP(J175,References!$B$7:$F$252,5,FALSE)</f>
        <v>36</v>
      </c>
    </row>
    <row r="176" spans="1:17" ht="17" thickBot="1" x14ac:dyDescent="0.25">
      <c r="A176" s="237" t="s">
        <v>475</v>
      </c>
      <c r="B176" s="158"/>
      <c r="C176" s="165"/>
      <c r="D176" s="165"/>
      <c r="E176" s="162"/>
      <c r="F176" s="75"/>
      <c r="G176" s="75"/>
      <c r="H176" s="106"/>
      <c r="I176" s="106"/>
      <c r="J176" s="106"/>
      <c r="K176" s="196"/>
      <c r="L176" s="160"/>
      <c r="M176" s="161"/>
      <c r="N176" s="159"/>
      <c r="O176" s="159"/>
      <c r="P176" s="159"/>
      <c r="Q176" s="159"/>
    </row>
    <row r="177" spans="1:18" x14ac:dyDescent="0.2">
      <c r="A177" s="895" t="s">
        <v>476</v>
      </c>
      <c r="B177" s="896" t="s">
        <v>477</v>
      </c>
      <c r="C177" s="866">
        <v>378.1</v>
      </c>
      <c r="D177" s="831" t="s">
        <v>479</v>
      </c>
      <c r="E177" s="177" t="s">
        <v>580</v>
      </c>
      <c r="F177" s="135" t="s">
        <v>479</v>
      </c>
      <c r="G177" s="177">
        <v>0.8</v>
      </c>
      <c r="H177" s="135" t="s">
        <v>27</v>
      </c>
      <c r="I177" s="135" t="s">
        <v>33</v>
      </c>
      <c r="J177" s="708" t="s">
        <v>961</v>
      </c>
      <c r="K177" s="99">
        <f>VLOOKUP(J177,References!$B$7:$F$252,5,FALSE)</f>
        <v>11</v>
      </c>
    </row>
    <row r="178" spans="1:18" x14ac:dyDescent="0.2">
      <c r="A178" s="868"/>
      <c r="B178" s="869"/>
      <c r="C178" s="841"/>
      <c r="D178" s="832"/>
      <c r="E178" s="134" t="s">
        <v>580</v>
      </c>
      <c r="F178" s="58" t="s">
        <v>479</v>
      </c>
      <c r="G178" s="134">
        <v>1.5</v>
      </c>
      <c r="H178" s="58" t="s">
        <v>27</v>
      </c>
      <c r="I178" s="58" t="s">
        <v>33</v>
      </c>
      <c r="J178" s="600" t="s">
        <v>961</v>
      </c>
      <c r="K178" s="100">
        <f>VLOOKUP(J178,References!$B$7:$F$252,5,FALSE)</f>
        <v>11</v>
      </c>
    </row>
    <row r="179" spans="1:18" ht="17" thickBot="1" x14ac:dyDescent="0.25">
      <c r="A179" s="880"/>
      <c r="B179" s="881"/>
      <c r="C179" s="846"/>
      <c r="D179" s="845"/>
      <c r="E179" s="140" t="s">
        <v>580</v>
      </c>
      <c r="F179" s="138" t="s">
        <v>479</v>
      </c>
      <c r="G179" s="140">
        <v>0.51</v>
      </c>
      <c r="H179" s="138" t="s">
        <v>571</v>
      </c>
      <c r="I179" s="138" t="s">
        <v>33</v>
      </c>
      <c r="J179" s="597" t="s">
        <v>533</v>
      </c>
      <c r="K179" s="101">
        <f>VLOOKUP(J179,References!$B$7:$F$252,5,FALSE)</f>
        <v>40</v>
      </c>
    </row>
    <row r="180" spans="1:18" s="2" customFormat="1" thickBot="1" x14ac:dyDescent="0.25">
      <c r="A180" s="237" t="s">
        <v>481</v>
      </c>
      <c r="B180" s="129"/>
      <c r="C180" s="82"/>
      <c r="D180" s="79"/>
      <c r="E180" s="79"/>
      <c r="F180" s="79"/>
      <c r="G180" s="79"/>
      <c r="H180" s="79"/>
      <c r="I180" s="79"/>
      <c r="J180" s="79"/>
      <c r="K180" s="80"/>
      <c r="L180" s="3"/>
    </row>
    <row r="181" spans="1:18" s="2" customFormat="1" ht="17" thickBot="1" x14ac:dyDescent="0.25">
      <c r="A181" s="606" t="s">
        <v>482</v>
      </c>
      <c r="B181" s="607" t="s">
        <v>483</v>
      </c>
      <c r="C181" s="607">
        <v>281.10000000000002</v>
      </c>
      <c r="D181" s="607" t="s">
        <v>484</v>
      </c>
      <c r="E181" s="607" t="s">
        <v>546</v>
      </c>
      <c r="F181" s="607" t="s">
        <v>484</v>
      </c>
      <c r="G181" s="609">
        <v>4.9400000000000004</v>
      </c>
      <c r="H181" s="609" t="s">
        <v>515</v>
      </c>
      <c r="I181" s="609" t="s">
        <v>33</v>
      </c>
      <c r="J181" s="806" t="s">
        <v>511</v>
      </c>
      <c r="K181" s="807">
        <f>VLOOKUP(J181,References!$B$7:$F$252,5,FALSE)</f>
        <v>36</v>
      </c>
      <c r="L181" s="3"/>
    </row>
    <row r="183" spans="1:18" x14ac:dyDescent="0.2">
      <c r="A183" s="66" t="s">
        <v>487</v>
      </c>
    </row>
    <row r="184" spans="1:18" s="2" customFormat="1" ht="46.25" customHeight="1" x14ac:dyDescent="0.2">
      <c r="A184" s="864" t="s">
        <v>488</v>
      </c>
      <c r="B184" s="864"/>
      <c r="C184" s="864"/>
      <c r="D184" s="864"/>
      <c r="E184" s="864"/>
      <c r="F184" s="864"/>
      <c r="G184" s="864"/>
      <c r="H184" s="864"/>
      <c r="I184" s="864"/>
      <c r="J184" s="864"/>
      <c r="R184" s="3"/>
    </row>
    <row r="185" spans="1:18" x14ac:dyDescent="0.2">
      <c r="A185" s="2" t="s">
        <v>489</v>
      </c>
    </row>
    <row r="186" spans="1:18" x14ac:dyDescent="0.2">
      <c r="A186" s="2" t="s">
        <v>490</v>
      </c>
    </row>
    <row r="187" spans="1:18" x14ac:dyDescent="0.2">
      <c r="A187" s="10" t="s">
        <v>647</v>
      </c>
    </row>
    <row r="188" spans="1:18" x14ac:dyDescent="0.2">
      <c r="A188" s="66" t="s">
        <v>648</v>
      </c>
    </row>
    <row r="189" spans="1:18" x14ac:dyDescent="0.2">
      <c r="A189" s="66" t="s">
        <v>492</v>
      </c>
    </row>
    <row r="190" spans="1:18" x14ac:dyDescent="0.2">
      <c r="A190" s="66" t="s">
        <v>493</v>
      </c>
    </row>
    <row r="191" spans="1:18" x14ac:dyDescent="0.2">
      <c r="A191" s="66" t="s">
        <v>553</v>
      </c>
    </row>
    <row r="192" spans="1:18" x14ac:dyDescent="0.2">
      <c r="A192" s="66" t="s">
        <v>554</v>
      </c>
    </row>
    <row r="193" spans="1:1" x14ac:dyDescent="0.2">
      <c r="A193" s="66" t="s">
        <v>555</v>
      </c>
    </row>
    <row r="194" spans="1:1" x14ac:dyDescent="0.2">
      <c r="A194" s="66" t="s">
        <v>557</v>
      </c>
    </row>
    <row r="195" spans="1:1" x14ac:dyDescent="0.2">
      <c r="A195" s="66" t="s">
        <v>962</v>
      </c>
    </row>
    <row r="198" spans="1:1" x14ac:dyDescent="0.2">
      <c r="A198" s="66"/>
    </row>
    <row r="199" spans="1:1" x14ac:dyDescent="0.2">
      <c r="A199" s="2"/>
    </row>
    <row r="200" spans="1:1" x14ac:dyDescent="0.2">
      <c r="A200" s="2"/>
    </row>
    <row r="201" spans="1:1" x14ac:dyDescent="0.2">
      <c r="A201" s="2"/>
    </row>
    <row r="202" spans="1:1" x14ac:dyDescent="0.2">
      <c r="A202" s="66"/>
    </row>
    <row r="203" spans="1:1" x14ac:dyDescent="0.2">
      <c r="A203" s="66"/>
    </row>
    <row r="204" spans="1:1" x14ac:dyDescent="0.2">
      <c r="A204" s="66"/>
    </row>
    <row r="205" spans="1:1" x14ac:dyDescent="0.2">
      <c r="A205" s="66"/>
    </row>
    <row r="206" spans="1:1" x14ac:dyDescent="0.2">
      <c r="A206" s="11"/>
    </row>
    <row r="207" spans="1:1" x14ac:dyDescent="0.2">
      <c r="A207" s="66"/>
    </row>
  </sheetData>
  <sheetProtection algorithmName="SHA-512" hashValue="lDlUyFVToJCfQ9EVpn/Z/tbVYth4FkbovgpnNLeaeaP3NMoRDqUJ7vsbj3gLFKLxRatP/wpCCiq3CXZGt/xX3Q==" saltValue="Iny9F1gO3j9wOBc+QnCjHQ==" spinCount="100000" sheet="1" objects="1" scenarios="1"/>
  <autoFilter ref="A6:K182" xr:uid="{B80B47C7-0BF4-4E0A-8029-58695CC6FB37}"/>
  <mergeCells count="106">
    <mergeCell ref="A153:A154"/>
    <mergeCell ref="B153:B154"/>
    <mergeCell ref="C153:C154"/>
    <mergeCell ref="D153:D154"/>
    <mergeCell ref="A110:A112"/>
    <mergeCell ref="B110:B112"/>
    <mergeCell ref="C110:C112"/>
    <mergeCell ref="D110:D112"/>
    <mergeCell ref="A123:A125"/>
    <mergeCell ref="B123:B125"/>
    <mergeCell ref="C123:C125"/>
    <mergeCell ref="D123:D125"/>
    <mergeCell ref="A135:A136"/>
    <mergeCell ref="B135:B136"/>
    <mergeCell ref="C135:C136"/>
    <mergeCell ref="D135:D136"/>
    <mergeCell ref="A113:A114"/>
    <mergeCell ref="B113:B114"/>
    <mergeCell ref="C113:C114"/>
    <mergeCell ref="D113:D114"/>
    <mergeCell ref="A117:A119"/>
    <mergeCell ref="B117:B119"/>
    <mergeCell ref="C117:C119"/>
    <mergeCell ref="D117:D119"/>
    <mergeCell ref="A184:J184"/>
    <mergeCell ref="A177:A179"/>
    <mergeCell ref="B177:B179"/>
    <mergeCell ref="C177:C179"/>
    <mergeCell ref="D177:D179"/>
    <mergeCell ref="A172:A174"/>
    <mergeCell ref="B172:B174"/>
    <mergeCell ref="C172:C174"/>
    <mergeCell ref="D172:D174"/>
    <mergeCell ref="A158:A163"/>
    <mergeCell ref="B158:B163"/>
    <mergeCell ref="C158:C163"/>
    <mergeCell ref="D158:D163"/>
    <mergeCell ref="A164:A166"/>
    <mergeCell ref="B164:B166"/>
    <mergeCell ref="C164:C166"/>
    <mergeCell ref="D164:D166"/>
    <mergeCell ref="A92:A95"/>
    <mergeCell ref="B92:B95"/>
    <mergeCell ref="C92:C95"/>
    <mergeCell ref="D92:D95"/>
    <mergeCell ref="A97:A104"/>
    <mergeCell ref="B97:B104"/>
    <mergeCell ref="C97:C104"/>
    <mergeCell ref="D97:D104"/>
    <mergeCell ref="A106:A107"/>
    <mergeCell ref="B106:B107"/>
    <mergeCell ref="C106:C107"/>
    <mergeCell ref="D106:D107"/>
    <mergeCell ref="A120:A121"/>
    <mergeCell ref="B120:B121"/>
    <mergeCell ref="C120:C121"/>
    <mergeCell ref="D120:D121"/>
    <mergeCell ref="A75:A80"/>
    <mergeCell ref="B75:B80"/>
    <mergeCell ref="C75:C80"/>
    <mergeCell ref="D75:D80"/>
    <mergeCell ref="A87:A90"/>
    <mergeCell ref="B87:B90"/>
    <mergeCell ref="C87:C90"/>
    <mergeCell ref="D87:D90"/>
    <mergeCell ref="A64:A69"/>
    <mergeCell ref="B64:B69"/>
    <mergeCell ref="C64:C69"/>
    <mergeCell ref="D64:D69"/>
    <mergeCell ref="A70:A74"/>
    <mergeCell ref="B70:B74"/>
    <mergeCell ref="C70:C74"/>
    <mergeCell ref="D70:D74"/>
    <mergeCell ref="A43:A56"/>
    <mergeCell ref="B43:B56"/>
    <mergeCell ref="C43:C56"/>
    <mergeCell ref="D43:D56"/>
    <mergeCell ref="A57:A63"/>
    <mergeCell ref="B57:B63"/>
    <mergeCell ref="C57:C63"/>
    <mergeCell ref="D57:D63"/>
    <mergeCell ref="D30:D35"/>
    <mergeCell ref="D36:D42"/>
    <mergeCell ref="C36:C42"/>
    <mergeCell ref="B36:B42"/>
    <mergeCell ref="A36:A42"/>
    <mergeCell ref="A30:A35"/>
    <mergeCell ref="B30:B35"/>
    <mergeCell ref="C30:C35"/>
    <mergeCell ref="A2:K2"/>
    <mergeCell ref="A16:A23"/>
    <mergeCell ref="B16:B23"/>
    <mergeCell ref="C16:C23"/>
    <mergeCell ref="D16:D23"/>
    <mergeCell ref="A24:A29"/>
    <mergeCell ref="B24:B29"/>
    <mergeCell ref="C24:C29"/>
    <mergeCell ref="D24:D29"/>
    <mergeCell ref="A8:A13"/>
    <mergeCell ref="B8:B13"/>
    <mergeCell ref="C8:C13"/>
    <mergeCell ref="D8:D13"/>
    <mergeCell ref="A14:A15"/>
    <mergeCell ref="B14:B15"/>
    <mergeCell ref="C14:C15"/>
    <mergeCell ref="D14:D15"/>
  </mergeCells>
  <conditionalFormatting sqref="G84 I84:I86 H113:H115 H120:H121 G181:H181">
    <cfRule type="cellIs" dxfId="74" priority="68" operator="between">
      <formula>1</formula>
      <formula>10</formula>
    </cfRule>
    <cfRule type="cellIs" dxfId="73" priority="71" operator="lessThanOrEqual">
      <formula>0.01</formula>
    </cfRule>
    <cfRule type="cellIs" dxfId="72" priority="69" operator="between">
      <formula>10</formula>
      <formula>100000</formula>
    </cfRule>
    <cfRule type="cellIs" dxfId="71" priority="70" operator="greaterThanOrEqual">
      <formula>100000</formula>
    </cfRule>
    <cfRule type="cellIs" dxfId="70" priority="67" operator="between">
      <formula>0.01</formula>
      <formula>1</formula>
    </cfRule>
  </conditionalFormatting>
  <conditionalFormatting sqref="G122:I126">
    <cfRule type="cellIs" dxfId="69" priority="53" operator="between">
      <formula>0.01</formula>
      <formula>1</formula>
    </cfRule>
    <cfRule type="cellIs" dxfId="68" priority="54" operator="between">
      <formula>1</formula>
      <formula>10</formula>
    </cfRule>
    <cfRule type="cellIs" dxfId="67" priority="56" operator="greaterThanOrEqual">
      <formula>100000</formula>
    </cfRule>
    <cfRule type="cellIs" dxfId="66" priority="57" operator="lessThanOrEqual">
      <formula>0.01</formula>
    </cfRule>
    <cfRule type="cellIs" dxfId="65" priority="55" operator="between">
      <formula>10</formula>
      <formula>100000</formula>
    </cfRule>
  </conditionalFormatting>
  <conditionalFormatting sqref="I157">
    <cfRule type="cellIs" dxfId="64" priority="62" operator="between">
      <formula>0.01</formula>
      <formula>1</formula>
    </cfRule>
    <cfRule type="cellIs" dxfId="63" priority="63" operator="between">
      <formula>1</formula>
      <formula>10</formula>
    </cfRule>
    <cfRule type="cellIs" dxfId="62" priority="64" operator="between">
      <formula>10</formula>
      <formula>100000</formula>
    </cfRule>
    <cfRule type="cellIs" dxfId="61" priority="65" operator="greaterThanOrEqual">
      <formula>100000</formula>
    </cfRule>
    <cfRule type="cellIs" dxfId="60" priority="66" operator="lessThanOrEqual">
      <formula>0.01</formula>
    </cfRule>
  </conditionalFormatting>
  <pageMargins left="0.7" right="0.7" top="0.75" bottom="0.75" header="0.3" footer="0.3"/>
  <pageSetup orientation="portrait" horizontalDpi="200" verticalDpi="200" r:id="rId1"/>
  <extLst>
    <ext xmlns:x14="http://schemas.microsoft.com/office/spreadsheetml/2009/9/main" uri="{78C0D931-6437-407d-A8EE-F0AAD7539E65}">
      <x14:conditionalFormattings>
        <x14:conditionalFormatting xmlns:xm="http://schemas.microsoft.com/office/excel/2006/main">
          <x14:cfRule type="expression" priority="59" id="{AF93A61E-6FCE-4164-AEE3-B7194F4EE535}">
            <xm:f>(VLOOKUP(J8,References!$B$8:$C$252,2,FALSE)="Secondary")</xm:f>
            <x14:dxf>
              <font>
                <strike val="0"/>
              </font>
              <fill>
                <patternFill>
                  <bgColor rgb="FFFFC000"/>
                </patternFill>
              </fill>
            </x14:dxf>
          </x14:cfRule>
          <xm:sqref>K8:K82</xm:sqref>
        </x14:conditionalFormatting>
        <x14:conditionalFormatting xmlns:xm="http://schemas.microsoft.com/office/excel/2006/main">
          <x14:cfRule type="expression" priority="23" id="{91789438-1406-4823-BF44-CECFA8853653}">
            <xm:f>(VLOOKUP(J84,References!$B$8:$C$252,2,FALSE)="Secondary")</xm:f>
            <x14:dxf>
              <font>
                <strike val="0"/>
              </font>
              <fill>
                <patternFill>
                  <bgColor rgb="FFFFC000"/>
                </patternFill>
              </fill>
            </x14:dxf>
          </x14:cfRule>
          <xm:sqref>K84:K108</xm:sqref>
        </x14:conditionalFormatting>
        <x14:conditionalFormatting xmlns:xm="http://schemas.microsoft.com/office/excel/2006/main">
          <x14:cfRule type="expression" priority="20" id="{DC0C7A2A-D2C6-4E90-82A5-B5F6B5CB9576}">
            <xm:f>(VLOOKUP(J110,References!$B$8:$C$252,2,FALSE)="Secondary")</xm:f>
            <x14:dxf>
              <font>
                <strike val="0"/>
              </font>
              <fill>
                <patternFill>
                  <bgColor rgb="FFFFC000"/>
                </patternFill>
              </fill>
            </x14:dxf>
          </x14:cfRule>
          <xm:sqref>K110:K126</xm:sqref>
        </x14:conditionalFormatting>
        <x14:conditionalFormatting xmlns:xm="http://schemas.microsoft.com/office/excel/2006/main">
          <x14:cfRule type="expression" priority="17" id="{BFAC3DB1-66FC-4214-BB86-8A211DC13AC5}">
            <xm:f>(VLOOKUP(J128,References!$B$8:$C$252,2,FALSE)="Secondary")</xm:f>
            <x14:dxf>
              <font>
                <strike val="0"/>
              </font>
              <fill>
                <patternFill>
                  <bgColor rgb="FFFFC000"/>
                </patternFill>
              </fill>
            </x14:dxf>
          </x14:cfRule>
          <xm:sqref>K128:K131</xm:sqref>
        </x14:conditionalFormatting>
        <x14:conditionalFormatting xmlns:xm="http://schemas.microsoft.com/office/excel/2006/main">
          <x14:cfRule type="expression" priority="16" id="{08B03B57-BBEA-4B45-B64D-C8CCFE8707E0}">
            <xm:f>(VLOOKUP(J133,References!$B$8:$C$252,2,FALSE)="Secondary")</xm:f>
            <x14:dxf>
              <font>
                <strike val="0"/>
              </font>
              <fill>
                <patternFill>
                  <bgColor rgb="FFFFC000"/>
                </patternFill>
              </fill>
            </x14:dxf>
          </x14:cfRule>
          <xm:sqref>K133:K140</xm:sqref>
        </x14:conditionalFormatting>
        <x14:conditionalFormatting xmlns:xm="http://schemas.microsoft.com/office/excel/2006/main">
          <x14:cfRule type="expression" priority="13" id="{7DD124BB-9D55-4891-8C1E-398B7D12CF29}">
            <xm:f>(VLOOKUP(J142,References!$B$8:$C$252,2,FALSE)="Secondary")</xm:f>
            <x14:dxf>
              <font>
                <strike val="0"/>
              </font>
              <fill>
                <patternFill>
                  <bgColor rgb="FFFFC000"/>
                </patternFill>
              </fill>
            </x14:dxf>
          </x14:cfRule>
          <xm:sqref>K142:K145</xm:sqref>
        </x14:conditionalFormatting>
        <x14:conditionalFormatting xmlns:xm="http://schemas.microsoft.com/office/excel/2006/main">
          <x14:cfRule type="expression" priority="10" id="{86CC2758-37C9-40AD-B574-04A8183615FE}">
            <xm:f>(VLOOKUP(J147,References!$B$8:$C$252,2,FALSE)="Secondary")</xm:f>
            <x14:dxf>
              <font>
                <strike val="0"/>
              </font>
              <fill>
                <patternFill>
                  <bgColor rgb="FFFFC000"/>
                </patternFill>
              </fill>
            </x14:dxf>
          </x14:cfRule>
          <xm:sqref>K147:K149</xm:sqref>
        </x14:conditionalFormatting>
        <x14:conditionalFormatting xmlns:xm="http://schemas.microsoft.com/office/excel/2006/main">
          <x14:cfRule type="expression" priority="5" id="{4F58AFAD-462F-49D4-A9E7-0D3267148CE2}">
            <xm:f>(VLOOKUP(J151,References!$B$8:$C$252,2,FALSE)="Secondary")</xm:f>
            <x14:dxf>
              <font>
                <strike val="0"/>
              </font>
              <fill>
                <patternFill>
                  <bgColor rgb="FFFFC000"/>
                </patternFill>
              </fill>
            </x14:dxf>
          </x14:cfRule>
          <xm:sqref>K151:K155</xm:sqref>
        </x14:conditionalFormatting>
        <x14:conditionalFormatting xmlns:xm="http://schemas.microsoft.com/office/excel/2006/main">
          <x14:cfRule type="expression" priority="4" id="{B7F62F1B-2B39-4FCC-950E-5BDDEC788585}">
            <xm:f>(VLOOKUP(J157,References!$B$8:$C$252,2,FALSE)="Secondary")</xm:f>
            <x14:dxf>
              <font>
                <strike val="0"/>
              </font>
              <fill>
                <patternFill>
                  <bgColor rgb="FFFFC000"/>
                </patternFill>
              </fill>
            </x14:dxf>
          </x14:cfRule>
          <xm:sqref>K157:K169</xm:sqref>
        </x14:conditionalFormatting>
        <x14:conditionalFormatting xmlns:xm="http://schemas.microsoft.com/office/excel/2006/main">
          <x14:cfRule type="expression" priority="2" id="{64B7264D-9728-41E2-B235-D6D234D088B6}">
            <xm:f>(VLOOKUP(J171,References!$B$8:$C$252,2,FALSE)="Secondary")</xm:f>
            <x14:dxf>
              <font>
                <strike val="0"/>
              </font>
              <fill>
                <patternFill>
                  <bgColor rgb="FFFFC000"/>
                </patternFill>
              </fill>
            </x14:dxf>
          </x14:cfRule>
          <xm:sqref>K171:K175</xm:sqref>
        </x14:conditionalFormatting>
        <x14:conditionalFormatting xmlns:xm="http://schemas.microsoft.com/office/excel/2006/main">
          <x14:cfRule type="expression" priority="74" id="{95B25B93-0AC0-49A9-B391-6D46B8387B09}">
            <xm:f>(VLOOKUP(J177,References!$B$8:$C$252,2,FALSE)="Secondary")</xm:f>
            <x14:dxf>
              <font>
                <strike val="0"/>
              </font>
              <fill>
                <patternFill>
                  <bgColor rgb="FFFFC000"/>
                </patternFill>
              </fill>
            </x14:dxf>
          </x14:cfRule>
          <xm:sqref>K177:K179</xm:sqref>
        </x14:conditionalFormatting>
        <x14:conditionalFormatting xmlns:xm="http://schemas.microsoft.com/office/excel/2006/main">
          <x14:cfRule type="expression" priority="51" id="{9E79A7A1-D307-4B6B-82CB-45D3465B3387}">
            <xm:f>(VLOOKUP(J181,References!$B$8:$C$252,2,FALSE)="Secondary")</xm:f>
            <x14:dxf>
              <font>
                <strike val="0"/>
              </font>
              <fill>
                <patternFill>
                  <bgColor rgb="FFFFC000"/>
                </patternFill>
              </fill>
            </x14:dxf>
          </x14:cfRule>
          <xm:sqref>K181</xm:sqref>
        </x14:conditionalFormatting>
        <x14:conditionalFormatting xmlns:xm="http://schemas.microsoft.com/office/excel/2006/main">
          <x14:cfRule type="expression" priority="58" id="{C6FFC5EA-6EFC-4AA9-9130-16B7ADE63648}">
            <xm:f>(VLOOKUP(O122,References!$B$8:$C$252,2,FALSE)="Secondary")</xm:f>
            <x14:dxf>
              <font>
                <strike val="0"/>
              </font>
              <fill>
                <patternFill>
                  <bgColor rgb="FFFFC000"/>
                </patternFill>
              </fill>
            </x14:dxf>
          </x14:cfRule>
          <xm:sqref>P122:P126</xm:sqref>
        </x14:conditionalFormatting>
        <x14:conditionalFormatting xmlns:xm="http://schemas.microsoft.com/office/excel/2006/main">
          <x14:cfRule type="expression" priority="85" id="{8DC610D3-1A62-4F3C-95AF-D76B8AA86910}">
            <xm:f>(VLOOKUP(O131,References!$B$8:$C$252,2,FALSE)="Secondary")</xm:f>
            <x14:dxf>
              <font>
                <strike val="0"/>
              </font>
              <fill>
                <patternFill>
                  <bgColor rgb="FFFFC000"/>
                </patternFill>
              </fill>
            </x14:dxf>
          </x14:cfRule>
          <xm:sqref>P131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AA08D-79A5-4B1F-9665-D8681ABACA3C}">
  <sheetPr codeName="Sheet8">
    <tabColor rgb="FF92D050"/>
  </sheetPr>
  <dimension ref="A1:AM210"/>
  <sheetViews>
    <sheetView zoomScaleNormal="100" workbookViewId="0">
      <pane ySplit="7" topLeftCell="A8" activePane="bottomLeft" state="frozen"/>
      <selection activeCell="H1" sqref="H1"/>
      <selection pane="bottomLeft" activeCell="A3" sqref="A3"/>
    </sheetView>
  </sheetViews>
  <sheetFormatPr baseColWidth="10" defaultColWidth="13.1640625" defaultRowHeight="16" x14ac:dyDescent="0.2"/>
  <cols>
    <col min="1" max="1" width="49.6640625" customWidth="1"/>
    <col min="2" max="2" width="18.1640625" style="62" customWidth="1"/>
    <col min="3" max="3" width="22.33203125" style="62" customWidth="1"/>
    <col min="4" max="5" width="12.6640625" customWidth="1"/>
    <col min="6" max="6" width="19.5" customWidth="1"/>
    <col min="7" max="7" width="18.6640625" customWidth="1"/>
    <col min="8" max="8" width="22.1640625" customWidth="1"/>
    <col min="9" max="9" width="22.33203125" customWidth="1"/>
    <col min="10" max="10" width="15.5" style="62" customWidth="1"/>
    <col min="11" max="11" width="10.33203125" style="62" customWidth="1"/>
    <col min="12" max="12" width="18.83203125" style="62" customWidth="1"/>
    <col min="13" max="13" width="9.33203125" style="62" customWidth="1"/>
    <col min="14" max="14" width="14.1640625" style="62" customWidth="1"/>
    <col min="15" max="15" width="12.83203125" style="62" customWidth="1"/>
    <col min="16" max="16" width="13.6640625" style="62" customWidth="1"/>
    <col min="17" max="17" width="11.33203125" style="62" customWidth="1"/>
    <col min="18" max="18" width="15" style="67" customWidth="1"/>
    <col min="19" max="19" width="9.1640625" style="62" customWidth="1"/>
    <col min="20" max="20" width="29.1640625" style="62" hidden="1" customWidth="1"/>
    <col min="21" max="21" width="16.5" style="62" customWidth="1"/>
  </cols>
  <sheetData>
    <row r="1" spans="1:28" ht="21" x14ac:dyDescent="0.25">
      <c r="A1" s="4" t="s">
        <v>6</v>
      </c>
      <c r="B1" s="5"/>
      <c r="C1" s="5"/>
      <c r="D1" s="6"/>
      <c r="E1" s="6"/>
      <c r="F1" s="6"/>
      <c r="G1" s="6"/>
      <c r="H1" s="6"/>
      <c r="I1" s="6"/>
      <c r="J1" s="5"/>
      <c r="K1" s="5"/>
      <c r="L1" s="5"/>
      <c r="M1" s="5"/>
      <c r="N1" s="5"/>
      <c r="O1" s="5"/>
      <c r="P1" s="5"/>
      <c r="Q1" s="5"/>
      <c r="R1" s="401"/>
      <c r="S1" s="5"/>
      <c r="T1" s="5"/>
      <c r="U1" s="5"/>
      <c r="V1" s="8"/>
      <c r="AA1" s="5"/>
    </row>
    <row r="2" spans="1:28" ht="30.75" customHeight="1" x14ac:dyDescent="0.25">
      <c r="A2" s="855" t="s">
        <v>633</v>
      </c>
      <c r="B2" s="855"/>
      <c r="C2" s="855"/>
      <c r="D2" s="855"/>
      <c r="E2" s="855"/>
      <c r="F2" s="855"/>
      <c r="G2" s="855"/>
      <c r="H2" s="855"/>
      <c r="I2" s="855"/>
      <c r="J2" s="855"/>
      <c r="K2" s="855"/>
      <c r="L2" s="855"/>
      <c r="M2" s="855"/>
      <c r="N2" s="855"/>
      <c r="O2" s="855"/>
      <c r="P2" s="855"/>
      <c r="Q2" s="855"/>
      <c r="R2" s="855"/>
      <c r="S2" s="855"/>
      <c r="T2" s="855"/>
      <c r="U2" s="855"/>
      <c r="V2" s="528"/>
      <c r="W2" s="528"/>
      <c r="X2" s="528"/>
      <c r="Y2" s="528"/>
      <c r="AA2" s="61"/>
    </row>
    <row r="3" spans="1:28" x14ac:dyDescent="0.2">
      <c r="A3" s="13"/>
      <c r="B3" s="3"/>
      <c r="C3" s="3"/>
      <c r="D3" s="2"/>
      <c r="E3" s="2"/>
      <c r="F3" s="2"/>
      <c r="G3" s="2"/>
      <c r="H3" s="2"/>
      <c r="I3" s="2"/>
      <c r="J3" s="3"/>
      <c r="K3" s="3"/>
      <c r="L3" s="3"/>
      <c r="M3" s="3"/>
      <c r="N3" s="3"/>
      <c r="O3" s="3"/>
      <c r="P3" s="3"/>
      <c r="Q3" s="3"/>
      <c r="R3" s="402"/>
      <c r="S3" s="3"/>
      <c r="T3" s="3"/>
      <c r="U3" s="3"/>
      <c r="V3" s="10"/>
      <c r="AA3" s="62"/>
    </row>
    <row r="4" spans="1:28" x14ac:dyDescent="0.2">
      <c r="A4" s="13"/>
      <c r="B4" s="3"/>
      <c r="C4" s="3"/>
      <c r="D4" s="2"/>
      <c r="E4" s="2"/>
      <c r="F4" s="2"/>
      <c r="G4" s="2"/>
      <c r="H4" s="2"/>
      <c r="I4" s="2"/>
      <c r="J4" s="3"/>
      <c r="K4" s="3"/>
      <c r="L4" s="3"/>
      <c r="M4" s="3"/>
      <c r="N4" s="3"/>
      <c r="O4" s="3"/>
      <c r="P4" s="3"/>
      <c r="Q4" s="3"/>
      <c r="R4" s="402"/>
      <c r="S4" s="3"/>
      <c r="T4" s="3"/>
      <c r="U4" s="3"/>
      <c r="V4" s="10"/>
      <c r="AA4" s="62"/>
    </row>
    <row r="5" spans="1:28" ht="20" thickBot="1" x14ac:dyDescent="0.3">
      <c r="A5" s="113" t="s">
        <v>963</v>
      </c>
      <c r="I5" s="62"/>
    </row>
    <row r="6" spans="1:28" s="70" customFormat="1" ht="36.5" customHeight="1" thickBot="1" x14ac:dyDescent="0.3">
      <c r="A6" s="870" t="s">
        <v>964</v>
      </c>
      <c r="B6" s="872" t="s">
        <v>10</v>
      </c>
      <c r="C6" s="874" t="s">
        <v>965</v>
      </c>
      <c r="D6" s="872" t="s">
        <v>966</v>
      </c>
      <c r="E6" s="872" t="s">
        <v>13</v>
      </c>
      <c r="F6" s="858" t="s">
        <v>967</v>
      </c>
      <c r="G6" s="858" t="s">
        <v>968</v>
      </c>
      <c r="H6" s="858" t="s">
        <v>969</v>
      </c>
      <c r="I6" s="858" t="s">
        <v>970</v>
      </c>
      <c r="J6" s="858" t="s">
        <v>971</v>
      </c>
      <c r="K6" s="858" t="s">
        <v>972</v>
      </c>
      <c r="L6" s="858" t="s">
        <v>973</v>
      </c>
      <c r="M6" s="944" t="s">
        <v>974</v>
      </c>
      <c r="N6" s="942" t="s">
        <v>975</v>
      </c>
      <c r="O6" s="943"/>
      <c r="P6" s="943"/>
      <c r="Q6" s="940" t="s">
        <v>976</v>
      </c>
      <c r="R6" s="940"/>
      <c r="S6" s="872" t="s">
        <v>504</v>
      </c>
      <c r="T6" s="915" t="s">
        <v>655</v>
      </c>
      <c r="U6" s="912" t="s">
        <v>977</v>
      </c>
    </row>
    <row r="7" spans="1:28" s="70" customFormat="1" ht="66.75" customHeight="1" thickBot="1" x14ac:dyDescent="0.3">
      <c r="A7" s="929"/>
      <c r="B7" s="930"/>
      <c r="C7" s="946"/>
      <c r="D7" s="930"/>
      <c r="E7" s="930"/>
      <c r="F7" s="941"/>
      <c r="G7" s="941"/>
      <c r="H7" s="941"/>
      <c r="I7" s="941"/>
      <c r="J7" s="941"/>
      <c r="K7" s="941"/>
      <c r="L7" s="941"/>
      <c r="M7" s="945"/>
      <c r="N7" s="409" t="s">
        <v>978</v>
      </c>
      <c r="O7" s="409" t="s">
        <v>979</v>
      </c>
      <c r="P7" s="409" t="s">
        <v>502</v>
      </c>
      <c r="Q7" s="407" t="s">
        <v>980</v>
      </c>
      <c r="R7" s="408" t="s">
        <v>981</v>
      </c>
      <c r="S7" s="930"/>
      <c r="T7" s="916"/>
      <c r="U7" s="913"/>
    </row>
    <row r="8" spans="1:28" ht="17" thickBot="1" x14ac:dyDescent="0.25">
      <c r="A8" s="78" t="s">
        <v>982</v>
      </c>
      <c r="B8" s="158" t="s">
        <v>983</v>
      </c>
      <c r="C8" s="158"/>
      <c r="D8" s="82"/>
      <c r="E8" s="82"/>
      <c r="F8" s="385"/>
      <c r="G8" s="385"/>
      <c r="H8" s="385"/>
      <c r="I8" s="385"/>
      <c r="J8" s="79"/>
      <c r="K8" s="79"/>
      <c r="L8" s="79"/>
      <c r="M8" s="79"/>
      <c r="N8" s="79"/>
      <c r="O8" s="79"/>
      <c r="P8" s="79"/>
      <c r="Q8" s="537"/>
      <c r="R8" s="403"/>
      <c r="S8" s="79"/>
      <c r="T8" s="128"/>
      <c r="U8" s="80"/>
    </row>
    <row r="9" spans="1:28" ht="48" x14ac:dyDescent="0.2">
      <c r="A9" s="895" t="s">
        <v>188</v>
      </c>
      <c r="B9" s="896" t="s">
        <v>189</v>
      </c>
      <c r="C9" s="896" t="s">
        <v>984</v>
      </c>
      <c r="D9" s="587">
        <v>500.1</v>
      </c>
      <c r="E9" s="156" t="s">
        <v>190</v>
      </c>
      <c r="F9" s="466" t="s">
        <v>985</v>
      </c>
      <c r="G9" s="466" t="s">
        <v>986</v>
      </c>
      <c r="H9" s="466" t="s">
        <v>985</v>
      </c>
      <c r="I9" s="522" t="s">
        <v>987</v>
      </c>
      <c r="J9" s="753" t="s">
        <v>988</v>
      </c>
      <c r="K9" s="754">
        <v>6</v>
      </c>
      <c r="L9" s="711" t="s">
        <v>989</v>
      </c>
      <c r="M9" s="466" t="s">
        <v>990</v>
      </c>
      <c r="N9" s="711" t="s">
        <v>991</v>
      </c>
      <c r="O9" s="466">
        <v>43</v>
      </c>
      <c r="P9" s="466" t="s">
        <v>992</v>
      </c>
      <c r="Q9" s="596">
        <f>IF(N9="Half-Life",IF(P9="h",O9/24,O9),(0.6931/(O9)))</f>
        <v>1.7916666666666667</v>
      </c>
      <c r="R9" s="755">
        <f>IF(N9="Rate Constant",O9,(0.6931/(O9)))</f>
        <v>1.6118604651162792E-2</v>
      </c>
      <c r="S9" s="466" t="s">
        <v>33</v>
      </c>
      <c r="T9" s="756" t="s">
        <v>993</v>
      </c>
      <c r="U9" s="234">
        <f>VLOOKUP(T9,References!$B$7:$F$252,5,FALSE)</f>
        <v>18</v>
      </c>
    </row>
    <row r="10" spans="1:28" ht="36" customHeight="1" x14ac:dyDescent="0.2">
      <c r="A10" s="879"/>
      <c r="B10" s="851"/>
      <c r="C10" s="851"/>
      <c r="D10" s="141">
        <v>500.1</v>
      </c>
      <c r="E10" s="153" t="s">
        <v>190</v>
      </c>
      <c r="F10" s="153" t="s">
        <v>985</v>
      </c>
      <c r="G10" s="153" t="s">
        <v>985</v>
      </c>
      <c r="H10" s="153" t="s">
        <v>985</v>
      </c>
      <c r="I10" s="153" t="s">
        <v>985</v>
      </c>
      <c r="J10" s="757" t="s">
        <v>994</v>
      </c>
      <c r="K10" s="758" t="s">
        <v>1614</v>
      </c>
      <c r="L10" s="141" t="s">
        <v>995</v>
      </c>
      <c r="M10" s="153" t="s">
        <v>990</v>
      </c>
      <c r="N10" s="141" t="s">
        <v>991</v>
      </c>
      <c r="O10" s="153" t="s">
        <v>996</v>
      </c>
      <c r="P10" s="153" t="s">
        <v>996</v>
      </c>
      <c r="Q10" s="759" t="s">
        <v>658</v>
      </c>
      <c r="R10" s="759" t="s">
        <v>658</v>
      </c>
      <c r="S10" s="153" t="s">
        <v>33</v>
      </c>
      <c r="T10" s="478" t="s">
        <v>997</v>
      </c>
      <c r="U10" s="235">
        <f>VLOOKUP(T10,References!$B$7:$F$252,5,FALSE)</f>
        <v>95</v>
      </c>
    </row>
    <row r="11" spans="1:28" ht="30.5" customHeight="1" x14ac:dyDescent="0.2">
      <c r="A11" s="157" t="s">
        <v>163</v>
      </c>
      <c r="B11" s="152" t="s">
        <v>164</v>
      </c>
      <c r="C11" s="152" t="s">
        <v>984</v>
      </c>
      <c r="D11" s="141">
        <v>300.10000000000002</v>
      </c>
      <c r="E11" s="153" t="s">
        <v>165</v>
      </c>
      <c r="F11" s="153" t="s">
        <v>985</v>
      </c>
      <c r="G11" s="153" t="s">
        <v>985</v>
      </c>
      <c r="H11" s="153" t="s">
        <v>985</v>
      </c>
      <c r="I11" s="153" t="s">
        <v>985</v>
      </c>
      <c r="J11" s="757" t="s">
        <v>994</v>
      </c>
      <c r="K11" s="758" t="s">
        <v>1615</v>
      </c>
      <c r="L11" s="141" t="s">
        <v>995</v>
      </c>
      <c r="M11" s="153" t="s">
        <v>990</v>
      </c>
      <c r="N11" s="141" t="s">
        <v>991</v>
      </c>
      <c r="O11" s="153" t="s">
        <v>996</v>
      </c>
      <c r="P11" s="153" t="s">
        <v>996</v>
      </c>
      <c r="Q11" s="759" t="s">
        <v>658</v>
      </c>
      <c r="R11" s="759" t="s">
        <v>658</v>
      </c>
      <c r="S11" s="153" t="s">
        <v>33</v>
      </c>
      <c r="T11" s="478" t="s">
        <v>997</v>
      </c>
      <c r="U11" s="235">
        <f>VLOOKUP(T11,References!$B$7:$F$252,5,FALSE)</f>
        <v>95</v>
      </c>
    </row>
    <row r="12" spans="1:28" ht="37.75" customHeight="1" thickBot="1" x14ac:dyDescent="0.25">
      <c r="A12" s="186" t="s">
        <v>998</v>
      </c>
      <c r="B12" s="149" t="s">
        <v>25</v>
      </c>
      <c r="C12" s="149" t="s">
        <v>984</v>
      </c>
      <c r="D12" s="133">
        <v>114.02</v>
      </c>
      <c r="E12" s="145" t="s">
        <v>26</v>
      </c>
      <c r="F12" s="153" t="s">
        <v>985</v>
      </c>
      <c r="G12" s="153" t="s">
        <v>985</v>
      </c>
      <c r="H12" s="153" t="s">
        <v>985</v>
      </c>
      <c r="I12" s="153" t="s">
        <v>985</v>
      </c>
      <c r="J12" s="757" t="s">
        <v>994</v>
      </c>
      <c r="K12" s="758" t="s">
        <v>1616</v>
      </c>
      <c r="L12" s="141" t="s">
        <v>995</v>
      </c>
      <c r="M12" s="153" t="s">
        <v>990</v>
      </c>
      <c r="N12" s="141" t="s">
        <v>991</v>
      </c>
      <c r="O12" s="153" t="s">
        <v>996</v>
      </c>
      <c r="P12" s="153" t="s">
        <v>996</v>
      </c>
      <c r="Q12" s="759" t="s">
        <v>658</v>
      </c>
      <c r="R12" s="759" t="s">
        <v>658</v>
      </c>
      <c r="S12" s="153" t="s">
        <v>33</v>
      </c>
      <c r="T12" s="478" t="s">
        <v>997</v>
      </c>
      <c r="U12" s="235">
        <f>VLOOKUP(T12,References!$B$7:$F$252,5,FALSE)</f>
        <v>95</v>
      </c>
    </row>
    <row r="13" spans="1:28" ht="17" thickBot="1" x14ac:dyDescent="0.25">
      <c r="A13" s="78" t="s">
        <v>210</v>
      </c>
      <c r="B13" s="158" t="s">
        <v>211</v>
      </c>
      <c r="C13" s="158"/>
      <c r="D13" s="82"/>
      <c r="E13" s="82"/>
      <c r="F13" s="82"/>
      <c r="G13" s="82"/>
      <c r="H13" s="82"/>
      <c r="I13" s="82"/>
      <c r="J13" s="79"/>
      <c r="K13" s="79"/>
      <c r="L13" s="79"/>
      <c r="M13" s="79"/>
      <c r="N13" s="79"/>
      <c r="O13" s="79"/>
      <c r="P13" s="79"/>
      <c r="Q13" s="594"/>
      <c r="R13" s="403"/>
      <c r="S13" s="79"/>
      <c r="T13" s="128"/>
      <c r="U13" s="80"/>
    </row>
    <row r="14" spans="1:28" s="2" customFormat="1" x14ac:dyDescent="0.2">
      <c r="A14" s="295" t="s">
        <v>212</v>
      </c>
      <c r="B14" s="59" t="s">
        <v>213</v>
      </c>
      <c r="C14" s="182" t="s">
        <v>984</v>
      </c>
      <c r="D14" s="239">
        <v>178.1</v>
      </c>
      <c r="E14" s="59" t="s">
        <v>214</v>
      </c>
      <c r="F14" s="225"/>
      <c r="G14" s="225"/>
      <c r="H14" s="225"/>
      <c r="I14" s="225"/>
      <c r="J14" s="225"/>
      <c r="K14" s="225"/>
      <c r="L14" s="225"/>
      <c r="M14" s="59"/>
      <c r="N14" s="59"/>
      <c r="O14" s="37"/>
      <c r="P14" s="37"/>
      <c r="Q14" s="37"/>
      <c r="R14" s="37"/>
      <c r="S14" s="59"/>
      <c r="T14" s="37"/>
      <c r="U14" s="122"/>
      <c r="V14" s="11"/>
      <c r="W14" s="11"/>
      <c r="X14" s="11"/>
      <c r="Y14" s="11"/>
      <c r="Z14" s="11"/>
      <c r="AA14" s="11"/>
      <c r="AB14" s="11"/>
    </row>
    <row r="15" spans="1:28" s="2" customFormat="1" x14ac:dyDescent="0.2">
      <c r="A15" s="295" t="s">
        <v>215</v>
      </c>
      <c r="B15" s="59" t="s">
        <v>216</v>
      </c>
      <c r="C15" s="152" t="s">
        <v>984</v>
      </c>
      <c r="D15" s="153">
        <v>242.1</v>
      </c>
      <c r="E15" s="131" t="s">
        <v>217</v>
      </c>
      <c r="F15" s="747"/>
      <c r="G15" s="747"/>
      <c r="H15" s="747"/>
      <c r="I15" s="225"/>
      <c r="J15" s="225"/>
      <c r="K15" s="225"/>
      <c r="L15" s="225"/>
      <c r="M15" s="59"/>
      <c r="N15" s="59"/>
      <c r="O15" s="37"/>
      <c r="P15" s="37"/>
      <c r="Q15" s="37"/>
      <c r="R15" s="37"/>
      <c r="S15" s="59"/>
      <c r="T15" s="37"/>
      <c r="U15" s="122"/>
      <c r="V15" s="11"/>
      <c r="W15" s="11"/>
      <c r="X15" s="11"/>
      <c r="Y15" s="11"/>
      <c r="Z15" s="11"/>
      <c r="AA15" s="11"/>
      <c r="AB15" s="11"/>
    </row>
    <row r="16" spans="1:28" s="2" customFormat="1" x14ac:dyDescent="0.2">
      <c r="A16" s="295" t="s">
        <v>221</v>
      </c>
      <c r="B16" s="131" t="s">
        <v>222</v>
      </c>
      <c r="C16" s="152" t="s">
        <v>984</v>
      </c>
      <c r="D16" s="153">
        <v>278.10000000000002</v>
      </c>
      <c r="E16" s="131" t="s">
        <v>223</v>
      </c>
      <c r="F16" s="747"/>
      <c r="G16" s="747"/>
      <c r="H16" s="747"/>
      <c r="I16" s="747"/>
      <c r="J16" s="747"/>
      <c r="K16" s="747"/>
      <c r="L16" s="747"/>
      <c r="M16" s="131"/>
      <c r="N16" s="131"/>
      <c r="O16" s="37"/>
      <c r="P16" s="37"/>
      <c r="Q16" s="37"/>
      <c r="R16" s="37"/>
      <c r="S16" s="59"/>
      <c r="T16" s="37"/>
      <c r="U16" s="122"/>
      <c r="V16" s="11"/>
      <c r="W16" s="11"/>
      <c r="X16" s="11"/>
      <c r="Y16" s="11"/>
      <c r="Z16" s="11"/>
      <c r="AA16" s="11"/>
      <c r="AB16" s="11"/>
    </row>
    <row r="17" spans="1:21" s="2" customFormat="1" ht="18" customHeight="1" x14ac:dyDescent="0.2">
      <c r="A17" s="383" t="s">
        <v>224</v>
      </c>
      <c r="B17" s="145" t="s">
        <v>225</v>
      </c>
      <c r="C17" s="150" t="s">
        <v>984</v>
      </c>
      <c r="D17" s="141">
        <v>342.1</v>
      </c>
      <c r="E17" s="153" t="s">
        <v>226</v>
      </c>
      <c r="F17" s="131"/>
      <c r="G17" s="131"/>
      <c r="H17" s="131"/>
      <c r="I17" s="58"/>
      <c r="J17" s="58"/>
      <c r="K17" s="58"/>
      <c r="L17" s="58"/>
      <c r="M17" s="58"/>
      <c r="N17" s="58"/>
      <c r="O17" s="30"/>
      <c r="P17" s="30"/>
      <c r="Q17" s="30"/>
      <c r="R17" s="30"/>
      <c r="S17" s="58"/>
      <c r="T17" s="30"/>
      <c r="U17" s="100"/>
    </row>
    <row r="18" spans="1:21" s="2" customFormat="1" x14ac:dyDescent="0.2">
      <c r="A18" s="586" t="s">
        <v>230</v>
      </c>
      <c r="B18" s="151" t="s">
        <v>231</v>
      </c>
      <c r="C18" s="150" t="s">
        <v>984</v>
      </c>
      <c r="D18" s="141">
        <v>378.1</v>
      </c>
      <c r="E18" s="153" t="s">
        <v>232</v>
      </c>
      <c r="F18" s="131"/>
      <c r="G18" s="131"/>
      <c r="H18" s="131"/>
      <c r="I18" s="57"/>
      <c r="J18" s="57"/>
      <c r="K18" s="57"/>
      <c r="L18" s="57"/>
      <c r="M18" s="57"/>
      <c r="N18" s="57"/>
      <c r="O18" s="41"/>
      <c r="P18" s="41"/>
      <c r="Q18" s="41"/>
      <c r="R18" s="41"/>
      <c r="S18" s="57"/>
      <c r="T18" s="41"/>
      <c r="U18" s="121"/>
    </row>
    <row r="19" spans="1:21" s="2" customFormat="1" ht="15" customHeight="1" x14ac:dyDescent="0.2">
      <c r="A19" s="191" t="s">
        <v>236</v>
      </c>
      <c r="B19" s="153" t="s">
        <v>237</v>
      </c>
      <c r="C19" s="152" t="s">
        <v>984</v>
      </c>
      <c r="D19" s="141">
        <v>442.1</v>
      </c>
      <c r="E19" s="153" t="s">
        <v>238</v>
      </c>
      <c r="F19" s="131"/>
      <c r="G19" s="131"/>
      <c r="H19" s="131"/>
      <c r="I19" s="131"/>
      <c r="J19" s="131"/>
      <c r="K19" s="131"/>
      <c r="L19" s="131"/>
      <c r="M19" s="131"/>
      <c r="N19" s="131"/>
      <c r="O19" s="42"/>
      <c r="P19" s="42"/>
      <c r="Q19" s="42"/>
      <c r="R19" s="42"/>
      <c r="S19" s="131"/>
      <c r="T19" s="42"/>
      <c r="U19" s="124"/>
    </row>
    <row r="20" spans="1:21" s="2" customFormat="1" x14ac:dyDescent="0.2">
      <c r="A20" s="207" t="s">
        <v>242</v>
      </c>
      <c r="B20" s="153" t="s">
        <v>243</v>
      </c>
      <c r="C20" s="152" t="s">
        <v>984</v>
      </c>
      <c r="D20" s="141">
        <v>477.1</v>
      </c>
      <c r="E20" s="153" t="s">
        <v>244</v>
      </c>
      <c r="F20" s="131"/>
      <c r="G20" s="131"/>
      <c r="H20" s="131"/>
      <c r="I20" s="131"/>
      <c r="J20" s="131"/>
      <c r="K20" s="131"/>
      <c r="L20" s="131"/>
      <c r="M20" s="131"/>
      <c r="N20" s="131"/>
      <c r="O20" s="42"/>
      <c r="P20" s="42"/>
      <c r="Q20" s="42"/>
      <c r="R20" s="42"/>
      <c r="S20" s="131"/>
      <c r="T20" s="42"/>
      <c r="U20" s="124"/>
    </row>
    <row r="21" spans="1:21" s="2" customFormat="1" x14ac:dyDescent="0.2">
      <c r="A21" s="207" t="s">
        <v>248</v>
      </c>
      <c r="B21" s="239" t="s">
        <v>249</v>
      </c>
      <c r="C21" s="152" t="s">
        <v>984</v>
      </c>
      <c r="D21" s="141">
        <v>578.1</v>
      </c>
      <c r="E21" s="153" t="s">
        <v>250</v>
      </c>
      <c r="F21" s="131"/>
      <c r="G21" s="131"/>
      <c r="H21" s="131"/>
      <c r="I21" s="59"/>
      <c r="J21" s="59"/>
      <c r="K21" s="59"/>
      <c r="L21" s="59"/>
      <c r="M21" s="131"/>
      <c r="N21" s="131"/>
      <c r="O21" s="42"/>
      <c r="P21" s="42"/>
      <c r="Q21" s="42"/>
      <c r="R21" s="42"/>
      <c r="S21" s="131"/>
      <c r="T21" s="42"/>
      <c r="U21" s="124"/>
    </row>
    <row r="22" spans="1:21" s="2" customFormat="1" ht="17" thickBot="1" x14ac:dyDescent="0.25">
      <c r="A22" s="207" t="s">
        <v>252</v>
      </c>
      <c r="B22" s="153" t="s">
        <v>253</v>
      </c>
      <c r="C22" s="152" t="s">
        <v>984</v>
      </c>
      <c r="D22" s="141">
        <v>678.1</v>
      </c>
      <c r="E22" s="153" t="s">
        <v>254</v>
      </c>
      <c r="F22" s="131"/>
      <c r="G22" s="131"/>
      <c r="H22" s="131"/>
      <c r="I22" s="131"/>
      <c r="J22" s="131"/>
      <c r="K22" s="131"/>
      <c r="L22" s="131"/>
      <c r="M22" s="131"/>
      <c r="N22" s="131"/>
      <c r="O22" s="42"/>
      <c r="P22" s="42"/>
      <c r="Q22" s="42"/>
      <c r="R22" s="42"/>
      <c r="S22" s="131"/>
      <c r="T22" s="42"/>
      <c r="U22" s="124"/>
    </row>
    <row r="23" spans="1:21" ht="17" thickBot="1" x14ac:dyDescent="0.25">
      <c r="A23" s="78" t="s">
        <v>255</v>
      </c>
      <c r="B23" s="158" t="s">
        <v>256</v>
      </c>
      <c r="C23" s="158"/>
      <c r="D23" s="82"/>
      <c r="E23" s="82"/>
      <c r="F23" s="82"/>
      <c r="G23" s="82"/>
      <c r="H23" s="82"/>
      <c r="I23" s="82"/>
      <c r="J23" s="79"/>
      <c r="K23" s="79"/>
      <c r="L23" s="79"/>
      <c r="M23" s="79"/>
      <c r="N23" s="79"/>
      <c r="O23" s="79"/>
      <c r="P23" s="79"/>
      <c r="Q23" s="594"/>
      <c r="R23" s="403"/>
      <c r="S23" s="79"/>
      <c r="T23" s="128"/>
      <c r="U23" s="80"/>
    </row>
    <row r="24" spans="1:21" x14ac:dyDescent="0.2">
      <c r="A24" s="186" t="s">
        <v>257</v>
      </c>
      <c r="B24" s="149" t="s">
        <v>258</v>
      </c>
      <c r="C24" s="149" t="s">
        <v>984</v>
      </c>
      <c r="D24" s="145">
        <v>328.2</v>
      </c>
      <c r="E24" s="145" t="s">
        <v>259</v>
      </c>
      <c r="F24" s="145"/>
      <c r="G24" s="145"/>
      <c r="H24" s="145"/>
      <c r="I24" s="145"/>
      <c r="J24" s="59"/>
      <c r="K24" s="59"/>
      <c r="L24" s="59"/>
      <c r="M24" s="59"/>
      <c r="N24" s="59"/>
      <c r="O24" s="59"/>
      <c r="P24" s="59"/>
      <c r="Q24" s="433"/>
      <c r="R24" s="327"/>
      <c r="S24" s="59"/>
      <c r="T24" s="37"/>
      <c r="U24" s="122"/>
    </row>
    <row r="25" spans="1:21" s="397" customFormat="1" ht="64" x14ac:dyDescent="0.2">
      <c r="A25" s="867" t="s">
        <v>260</v>
      </c>
      <c r="B25" s="850" t="s">
        <v>261</v>
      </c>
      <c r="C25" s="850" t="s">
        <v>984</v>
      </c>
      <c r="D25" s="153">
        <v>428.2</v>
      </c>
      <c r="E25" s="153" t="s">
        <v>262</v>
      </c>
      <c r="F25" s="153" t="s">
        <v>985</v>
      </c>
      <c r="G25" s="153" t="s">
        <v>387</v>
      </c>
      <c r="H25" s="152" t="s">
        <v>999</v>
      </c>
      <c r="I25" s="152" t="s">
        <v>1000</v>
      </c>
      <c r="J25" s="239" t="s">
        <v>1001</v>
      </c>
      <c r="K25" s="239">
        <v>224</v>
      </c>
      <c r="L25" s="239" t="s">
        <v>989</v>
      </c>
      <c r="M25" s="239" t="s">
        <v>990</v>
      </c>
      <c r="N25" s="239" t="s">
        <v>991</v>
      </c>
      <c r="O25" s="239">
        <v>43.3</v>
      </c>
      <c r="P25" s="239" t="s">
        <v>1002</v>
      </c>
      <c r="Q25" s="525">
        <f t="shared" ref="Q25:Q30" si="0">IF(N25="Half-Life",IF(P25="h",O25/24,O25),(0.6931/(O25)))</f>
        <v>43.3</v>
      </c>
      <c r="R25" s="344">
        <f>IF(N25="Rate Constant",O25,(0.6931/(O25)))</f>
        <v>1.6006928406466513E-2</v>
      </c>
      <c r="S25" s="239" t="s">
        <v>33</v>
      </c>
      <c r="T25" s="374" t="s">
        <v>1003</v>
      </c>
      <c r="U25" s="394">
        <f>VLOOKUP(T25,References!$B$7:$F$252,5,FALSE)</f>
        <v>138</v>
      </c>
    </row>
    <row r="26" spans="1:21" s="397" customFormat="1" ht="64" x14ac:dyDescent="0.2">
      <c r="A26" s="868"/>
      <c r="B26" s="869"/>
      <c r="C26" s="869"/>
      <c r="D26" s="153">
        <v>428.2</v>
      </c>
      <c r="E26" s="153" t="s">
        <v>262</v>
      </c>
      <c r="F26" s="153" t="s">
        <v>985</v>
      </c>
      <c r="G26" s="153" t="s">
        <v>1004</v>
      </c>
      <c r="H26" s="152" t="s">
        <v>985</v>
      </c>
      <c r="I26" s="152" t="s">
        <v>1005</v>
      </c>
      <c r="J26" s="239" t="s">
        <v>1006</v>
      </c>
      <c r="K26" s="239">
        <v>90</v>
      </c>
      <c r="L26" s="239" t="s">
        <v>989</v>
      </c>
      <c r="M26" s="239" t="s">
        <v>990</v>
      </c>
      <c r="N26" s="153" t="s">
        <v>991</v>
      </c>
      <c r="O26" s="760">
        <v>5</v>
      </c>
      <c r="P26" s="153" t="s">
        <v>1002</v>
      </c>
      <c r="Q26" s="525">
        <f t="shared" si="0"/>
        <v>5</v>
      </c>
      <c r="R26" s="344">
        <f>IF(N26="Rate Constant",O26,(0.6931/(O26)))</f>
        <v>0.13862000000000002</v>
      </c>
      <c r="S26" s="239" t="s">
        <v>1007</v>
      </c>
      <c r="T26" s="374" t="s">
        <v>1008</v>
      </c>
      <c r="U26" s="394">
        <f>VLOOKUP(T26,References!$B$7:$F$252,5,FALSE)</f>
        <v>146</v>
      </c>
    </row>
    <row r="27" spans="1:21" s="397" customFormat="1" ht="48" x14ac:dyDescent="0.2">
      <c r="A27" s="868"/>
      <c r="B27" s="869"/>
      <c r="C27" s="869"/>
      <c r="D27" s="153">
        <v>428.2</v>
      </c>
      <c r="E27" s="153" t="s">
        <v>262</v>
      </c>
      <c r="F27" s="153" t="s">
        <v>985</v>
      </c>
      <c r="G27" s="152" t="s">
        <v>1009</v>
      </c>
      <c r="H27" s="152" t="s">
        <v>1010</v>
      </c>
      <c r="I27" s="152" t="s">
        <v>1011</v>
      </c>
      <c r="J27" s="152" t="s">
        <v>1012</v>
      </c>
      <c r="K27" s="153">
        <v>90</v>
      </c>
      <c r="L27" s="153" t="s">
        <v>989</v>
      </c>
      <c r="M27" s="239" t="s">
        <v>990</v>
      </c>
      <c r="N27" s="153" t="s">
        <v>991</v>
      </c>
      <c r="O27" s="239">
        <v>86</v>
      </c>
      <c r="P27" s="153" t="s">
        <v>1002</v>
      </c>
      <c r="Q27" s="525">
        <f t="shared" si="0"/>
        <v>86</v>
      </c>
      <c r="R27" s="344">
        <f>IF(N27="Rate Constant",O27,(0.6931/(O27)))</f>
        <v>8.059302325581396E-3</v>
      </c>
      <c r="S27" s="239">
        <v>20</v>
      </c>
      <c r="T27" s="374" t="s">
        <v>1013</v>
      </c>
      <c r="U27" s="394">
        <f>VLOOKUP(T27,References!$B$7:$F$252,5,FALSE)</f>
        <v>45</v>
      </c>
    </row>
    <row r="28" spans="1:21" s="397" customFormat="1" ht="80" x14ac:dyDescent="0.2">
      <c r="A28" s="868"/>
      <c r="B28" s="869"/>
      <c r="C28" s="869"/>
      <c r="D28" s="153">
        <v>428.2</v>
      </c>
      <c r="E28" s="153" t="s">
        <v>262</v>
      </c>
      <c r="F28" s="153" t="s">
        <v>985</v>
      </c>
      <c r="G28" s="153" t="s">
        <v>1004</v>
      </c>
      <c r="H28" s="153" t="s">
        <v>985</v>
      </c>
      <c r="I28" s="152" t="s">
        <v>1014</v>
      </c>
      <c r="J28" s="182" t="s">
        <v>1015</v>
      </c>
      <c r="K28" s="239">
        <v>60</v>
      </c>
      <c r="L28" s="239" t="s">
        <v>989</v>
      </c>
      <c r="M28" s="153" t="s">
        <v>990</v>
      </c>
      <c r="N28" s="239" t="s">
        <v>991</v>
      </c>
      <c r="O28" s="239">
        <v>108</v>
      </c>
      <c r="P28" s="239" t="s">
        <v>1002</v>
      </c>
      <c r="Q28" s="525">
        <f t="shared" si="0"/>
        <v>108</v>
      </c>
      <c r="R28" s="344">
        <f t="shared" ref="R28:R29" si="1">IF(N28="Rate Constant",O28,(0.6931/(O28)))</f>
        <v>6.4175925925925928E-3</v>
      </c>
      <c r="S28" s="239">
        <v>20</v>
      </c>
      <c r="T28" s="374" t="s">
        <v>1016</v>
      </c>
      <c r="U28" s="394">
        <f>VLOOKUP(T28,References!$B$7:$F$252,5,FALSE)</f>
        <v>44</v>
      </c>
    </row>
    <row r="29" spans="1:21" s="397" customFormat="1" ht="80" x14ac:dyDescent="0.2">
      <c r="A29" s="868"/>
      <c r="B29" s="869"/>
      <c r="C29" s="869"/>
      <c r="D29" s="153">
        <v>428.2</v>
      </c>
      <c r="E29" s="153" t="s">
        <v>262</v>
      </c>
      <c r="F29" s="153" t="s">
        <v>985</v>
      </c>
      <c r="G29" s="153" t="s">
        <v>1004</v>
      </c>
      <c r="H29" s="153" t="s">
        <v>985</v>
      </c>
      <c r="I29" s="152" t="s">
        <v>1014</v>
      </c>
      <c r="J29" s="182" t="s">
        <v>1017</v>
      </c>
      <c r="K29" s="239">
        <v>60</v>
      </c>
      <c r="L29" s="239" t="s">
        <v>989</v>
      </c>
      <c r="M29" s="153" t="s">
        <v>990</v>
      </c>
      <c r="N29" s="239" t="s">
        <v>991</v>
      </c>
      <c r="O29" s="239">
        <v>90</v>
      </c>
      <c r="P29" s="239" t="s">
        <v>1002</v>
      </c>
      <c r="Q29" s="525">
        <f t="shared" si="0"/>
        <v>90</v>
      </c>
      <c r="R29" s="344">
        <f t="shared" si="1"/>
        <v>7.7011111111111117E-3</v>
      </c>
      <c r="S29" s="239">
        <v>20</v>
      </c>
      <c r="T29" s="374" t="s">
        <v>1016</v>
      </c>
      <c r="U29" s="394">
        <f>VLOOKUP(T29,References!$B$7:$F$252,5,FALSE)</f>
        <v>44</v>
      </c>
    </row>
    <row r="30" spans="1:21" s="397" customFormat="1" ht="80" x14ac:dyDescent="0.2">
      <c r="A30" s="868"/>
      <c r="B30" s="869"/>
      <c r="C30" s="869"/>
      <c r="D30" s="153">
        <v>428.2</v>
      </c>
      <c r="E30" s="153" t="s">
        <v>262</v>
      </c>
      <c r="F30" s="153" t="s">
        <v>985</v>
      </c>
      <c r="G30" s="153" t="s">
        <v>1004</v>
      </c>
      <c r="H30" s="153" t="s">
        <v>985</v>
      </c>
      <c r="I30" s="152" t="s">
        <v>1018</v>
      </c>
      <c r="J30" s="182" t="s">
        <v>1012</v>
      </c>
      <c r="K30" s="239">
        <v>60</v>
      </c>
      <c r="L30" s="239" t="s">
        <v>989</v>
      </c>
      <c r="M30" s="153" t="s">
        <v>990</v>
      </c>
      <c r="N30" s="239" t="s">
        <v>991</v>
      </c>
      <c r="O30" s="239">
        <v>92</v>
      </c>
      <c r="P30" s="239" t="s">
        <v>1002</v>
      </c>
      <c r="Q30" s="525">
        <f t="shared" si="0"/>
        <v>92</v>
      </c>
      <c r="R30" s="344">
        <f t="shared" ref="R30" si="2">IF(N30="Rate Constant",O30,(0.6931/(O30)))</f>
        <v>7.5336956521739138E-3</v>
      </c>
      <c r="S30" s="239">
        <v>20</v>
      </c>
      <c r="T30" s="374" t="s">
        <v>1016</v>
      </c>
      <c r="U30" s="394">
        <f>VLOOKUP(T30,References!$B$7:$F$252,5,FALSE)</f>
        <v>44</v>
      </c>
    </row>
    <row r="31" spans="1:21" s="397" customFormat="1" ht="35.5" customHeight="1" x14ac:dyDescent="0.2">
      <c r="A31" s="868"/>
      <c r="B31" s="869"/>
      <c r="C31" s="869"/>
      <c r="D31" s="153">
        <v>428.2</v>
      </c>
      <c r="E31" s="153" t="s">
        <v>262</v>
      </c>
      <c r="F31" s="153" t="s">
        <v>985</v>
      </c>
      <c r="G31" s="153" t="s">
        <v>1004</v>
      </c>
      <c r="H31" s="153" t="s">
        <v>985</v>
      </c>
      <c r="I31" s="153" t="s">
        <v>985</v>
      </c>
      <c r="J31" s="757" t="s">
        <v>994</v>
      </c>
      <c r="K31" s="758" t="s">
        <v>1617</v>
      </c>
      <c r="L31" s="141" t="s">
        <v>995</v>
      </c>
      <c r="M31" s="153" t="s">
        <v>990</v>
      </c>
      <c r="N31" s="141" t="s">
        <v>991</v>
      </c>
      <c r="O31" s="153" t="s">
        <v>996</v>
      </c>
      <c r="P31" s="153" t="s">
        <v>996</v>
      </c>
      <c r="Q31" s="759" t="s">
        <v>658</v>
      </c>
      <c r="R31" s="759" t="s">
        <v>658</v>
      </c>
      <c r="S31" s="153"/>
      <c r="T31" s="478" t="s">
        <v>997</v>
      </c>
      <c r="U31" s="235">
        <f>VLOOKUP(T31,References!$B$7:$F$252,5,FALSE)</f>
        <v>95</v>
      </c>
    </row>
    <row r="32" spans="1:21" s="397" customFormat="1" ht="80" x14ac:dyDescent="0.2">
      <c r="A32" s="868"/>
      <c r="B32" s="869"/>
      <c r="C32" s="869"/>
      <c r="D32" s="153">
        <v>428.2</v>
      </c>
      <c r="E32" s="153" t="s">
        <v>262</v>
      </c>
      <c r="F32" s="153" t="s">
        <v>985</v>
      </c>
      <c r="G32" s="152" t="s">
        <v>1019</v>
      </c>
      <c r="H32" s="152" t="s">
        <v>1020</v>
      </c>
      <c r="I32" s="152" t="s">
        <v>1021</v>
      </c>
      <c r="J32" s="182" t="s">
        <v>1022</v>
      </c>
      <c r="K32" s="239">
        <v>100</v>
      </c>
      <c r="L32" s="239" t="s">
        <v>989</v>
      </c>
      <c r="M32" s="239" t="s">
        <v>990</v>
      </c>
      <c r="N32" s="239" t="s">
        <v>991</v>
      </c>
      <c r="O32" s="239">
        <v>28.8</v>
      </c>
      <c r="P32" s="239" t="s">
        <v>1002</v>
      </c>
      <c r="Q32" s="525">
        <f>IF(N32="Half-Life",IF(P32="h",O32/24,O32),(0.6931/(O32)))</f>
        <v>28.8</v>
      </c>
      <c r="R32" s="344">
        <f t="shared" ref="R32" si="3">IF(N32="Rate Constant",O32,(0.6931/(O32)))</f>
        <v>2.4065972222222225E-2</v>
      </c>
      <c r="S32" s="239">
        <v>25</v>
      </c>
      <c r="T32" s="374" t="s">
        <v>1023</v>
      </c>
      <c r="U32" s="394">
        <f>VLOOKUP(T32,References!$B$7:$F$252,5,FALSE)</f>
        <v>38</v>
      </c>
    </row>
    <row r="33" spans="1:21" s="397" customFormat="1" ht="64" x14ac:dyDescent="0.2">
      <c r="A33" s="868"/>
      <c r="B33" s="869"/>
      <c r="C33" s="869"/>
      <c r="D33" s="153">
        <v>428.2</v>
      </c>
      <c r="E33" s="153" t="s">
        <v>262</v>
      </c>
      <c r="F33" s="153" t="s">
        <v>985</v>
      </c>
      <c r="G33" s="152" t="s">
        <v>1024</v>
      </c>
      <c r="H33" s="152" t="s">
        <v>1025</v>
      </c>
      <c r="I33" s="152" t="s">
        <v>1026</v>
      </c>
      <c r="J33" s="239" t="s">
        <v>1027</v>
      </c>
      <c r="K33" s="239">
        <v>100</v>
      </c>
      <c r="L33" s="239" t="s">
        <v>989</v>
      </c>
      <c r="M33" s="239" t="s">
        <v>990</v>
      </c>
      <c r="N33" s="239" t="s">
        <v>991</v>
      </c>
      <c r="O33" s="239">
        <v>26.2</v>
      </c>
      <c r="P33" s="239" t="s">
        <v>1002</v>
      </c>
      <c r="Q33" s="525">
        <f>IF(N33="Half-Life",IF(P33="h",O33/24,O33),(0.6931/(O33)))</f>
        <v>26.2</v>
      </c>
      <c r="R33" s="344">
        <f t="shared" ref="R33:R34" si="4">IF(N33="Rate Constant",O33,(0.6931/(O33)))</f>
        <v>2.6454198473282446E-2</v>
      </c>
      <c r="S33" s="239" t="s">
        <v>33</v>
      </c>
      <c r="T33" s="374" t="s">
        <v>1028</v>
      </c>
      <c r="U33" s="394">
        <f>VLOOKUP(T33,References!$B$7:$F$252,5,FALSE)</f>
        <v>37</v>
      </c>
    </row>
    <row r="34" spans="1:21" s="397" customFormat="1" ht="64" x14ac:dyDescent="0.2">
      <c r="A34" s="879"/>
      <c r="B34" s="851"/>
      <c r="C34" s="851"/>
      <c r="D34" s="153">
        <v>428.2</v>
      </c>
      <c r="E34" s="153" t="s">
        <v>262</v>
      </c>
      <c r="F34" s="153" t="s">
        <v>985</v>
      </c>
      <c r="G34" s="152" t="s">
        <v>1024</v>
      </c>
      <c r="H34" s="152" t="s">
        <v>1025</v>
      </c>
      <c r="I34" s="152" t="s">
        <v>1029</v>
      </c>
      <c r="J34" s="182" t="s">
        <v>1030</v>
      </c>
      <c r="K34" s="239">
        <v>100</v>
      </c>
      <c r="L34" s="239" t="s">
        <v>989</v>
      </c>
      <c r="M34" s="239" t="s">
        <v>990</v>
      </c>
      <c r="N34" s="239" t="s">
        <v>991</v>
      </c>
      <c r="O34" s="239">
        <v>16.7</v>
      </c>
      <c r="P34" s="239" t="s">
        <v>1002</v>
      </c>
      <c r="Q34" s="525">
        <f>IF(N34="Half-Life",IF(P34="h",O34/24,O34),(0.6931/(O34)))</f>
        <v>16.7</v>
      </c>
      <c r="R34" s="344">
        <f t="shared" si="4"/>
        <v>4.1502994011976053E-2</v>
      </c>
      <c r="S34" s="239" t="s">
        <v>33</v>
      </c>
      <c r="T34" s="374" t="s">
        <v>1028</v>
      </c>
      <c r="U34" s="394">
        <f>VLOOKUP(T34,References!$B$7:$F$252,5,FALSE)</f>
        <v>37</v>
      </c>
    </row>
    <row r="35" spans="1:21" x14ac:dyDescent="0.2">
      <c r="A35" s="186" t="s">
        <v>266</v>
      </c>
      <c r="B35" s="149" t="s">
        <v>267</v>
      </c>
      <c r="C35" s="149" t="s">
        <v>984</v>
      </c>
      <c r="D35" s="145">
        <v>528.20000000000005</v>
      </c>
      <c r="E35" s="145" t="s">
        <v>268</v>
      </c>
      <c r="F35" s="145"/>
      <c r="G35" s="145"/>
      <c r="H35" s="145"/>
      <c r="I35" s="153"/>
      <c r="J35" s="59"/>
      <c r="K35" s="59"/>
      <c r="L35" s="59"/>
      <c r="M35" s="59"/>
      <c r="N35" s="59"/>
      <c r="O35" s="59"/>
      <c r="P35" s="59"/>
      <c r="Q35" s="469"/>
      <c r="R35" s="327"/>
      <c r="S35" s="59"/>
      <c r="T35" s="37"/>
      <c r="U35" s="122"/>
    </row>
    <row r="36" spans="1:21" s="47" customFormat="1" ht="16.5" customHeight="1" thickBot="1" x14ac:dyDescent="0.25">
      <c r="A36" s="244" t="s">
        <v>272</v>
      </c>
      <c r="B36" s="245" t="s">
        <v>273</v>
      </c>
      <c r="C36" s="245" t="s">
        <v>984</v>
      </c>
      <c r="D36" s="214">
        <v>628.20000000000005</v>
      </c>
      <c r="E36" s="214" t="s">
        <v>275</v>
      </c>
      <c r="F36" s="384"/>
      <c r="G36" s="384"/>
      <c r="H36" s="384"/>
      <c r="I36" s="331"/>
      <c r="J36" s="331"/>
      <c r="K36" s="331"/>
      <c r="L36" s="331"/>
      <c r="M36" s="601"/>
      <c r="N36" s="331"/>
      <c r="O36" s="601"/>
      <c r="P36" s="602"/>
      <c r="Q36" s="433"/>
      <c r="R36" s="761"/>
      <c r="S36" s="434"/>
      <c r="T36" s="30"/>
      <c r="U36" s="122"/>
    </row>
    <row r="37" spans="1:21" ht="17" thickBot="1" x14ac:dyDescent="0.25">
      <c r="A37" s="78" t="s">
        <v>276</v>
      </c>
      <c r="B37" s="158" t="s">
        <v>277</v>
      </c>
      <c r="C37" s="158"/>
      <c r="D37" s="82"/>
      <c r="E37" s="82"/>
      <c r="F37" s="82"/>
      <c r="G37" s="82"/>
      <c r="H37" s="82"/>
      <c r="I37" s="82"/>
      <c r="J37" s="79"/>
      <c r="K37" s="79"/>
      <c r="L37" s="79"/>
      <c r="M37" s="79"/>
      <c r="N37" s="79"/>
      <c r="O37" s="79"/>
      <c r="P37" s="79"/>
      <c r="Q37" s="594"/>
      <c r="R37" s="403"/>
      <c r="S37" s="79"/>
      <c r="T37" s="128"/>
      <c r="U37" s="80"/>
    </row>
    <row r="38" spans="1:21" x14ac:dyDescent="0.2">
      <c r="A38" s="190" t="s">
        <v>278</v>
      </c>
      <c r="B38" s="156" t="s">
        <v>279</v>
      </c>
      <c r="C38" s="156" t="s">
        <v>1031</v>
      </c>
      <c r="D38" s="156">
        <v>299.10000000000002</v>
      </c>
      <c r="E38" s="156" t="s">
        <v>280</v>
      </c>
      <c r="F38" s="156"/>
      <c r="G38" s="156"/>
      <c r="H38" s="156"/>
      <c r="I38" s="156"/>
      <c r="J38" s="156"/>
      <c r="K38" s="156"/>
      <c r="L38" s="156"/>
      <c r="M38" s="135"/>
      <c r="N38" s="156"/>
      <c r="O38" s="135"/>
      <c r="P38" s="135"/>
      <c r="Q38" s="603"/>
      <c r="R38" s="334"/>
      <c r="S38" s="135"/>
      <c r="T38" s="201"/>
      <c r="U38" s="173"/>
    </row>
    <row r="39" spans="1:21" x14ac:dyDescent="0.2">
      <c r="A39" s="191" t="s">
        <v>283</v>
      </c>
      <c r="B39" s="153" t="s">
        <v>284</v>
      </c>
      <c r="C39" s="153" t="s">
        <v>1031</v>
      </c>
      <c r="D39" s="153">
        <v>399.1</v>
      </c>
      <c r="E39" s="153" t="s">
        <v>285</v>
      </c>
      <c r="F39" s="153"/>
      <c r="G39" s="153"/>
      <c r="H39" s="153"/>
      <c r="I39" s="153"/>
      <c r="J39" s="153"/>
      <c r="K39" s="153"/>
      <c r="L39" s="153"/>
      <c r="M39" s="131"/>
      <c r="N39" s="153"/>
      <c r="O39" s="131"/>
      <c r="P39" s="131"/>
      <c r="Q39" s="525"/>
      <c r="R39" s="328"/>
      <c r="S39" s="131"/>
      <c r="T39" s="42"/>
      <c r="U39" s="122"/>
    </row>
    <row r="40" spans="1:21" x14ac:dyDescent="0.2">
      <c r="A40" s="867" t="s">
        <v>290</v>
      </c>
      <c r="B40" s="850" t="s">
        <v>291</v>
      </c>
      <c r="C40" s="850" t="s">
        <v>1031</v>
      </c>
      <c r="D40" s="153">
        <v>499.1</v>
      </c>
      <c r="E40" s="153" t="s">
        <v>293</v>
      </c>
      <c r="F40" s="145" t="s">
        <v>985</v>
      </c>
      <c r="G40" s="153" t="s">
        <v>1032</v>
      </c>
      <c r="H40" s="153" t="s">
        <v>985</v>
      </c>
      <c r="I40" s="153" t="s">
        <v>189</v>
      </c>
      <c r="J40" s="59" t="s">
        <v>1022</v>
      </c>
      <c r="K40" s="59">
        <v>10</v>
      </c>
      <c r="L40" s="59" t="s">
        <v>989</v>
      </c>
      <c r="M40" s="59" t="s">
        <v>990</v>
      </c>
      <c r="N40" s="59" t="s">
        <v>1033</v>
      </c>
      <c r="O40" s="59">
        <v>7.4999999999999997E-2</v>
      </c>
      <c r="P40" s="59" t="s">
        <v>1034</v>
      </c>
      <c r="Q40" s="469">
        <f t="shared" ref="Q40:Q45" si="5">IF(N40="Half-Life",O40,(0.6931/(O40)))</f>
        <v>9.2413333333333352</v>
      </c>
      <c r="R40" s="327">
        <f t="shared" ref="R40:R45" si="6">IF(N40="Rate Constant",O40,(0.6931/(O40)))</f>
        <v>7.4999999999999997E-2</v>
      </c>
      <c r="S40" s="59">
        <v>30</v>
      </c>
      <c r="T40" s="42" t="s">
        <v>1035</v>
      </c>
      <c r="U40" s="122">
        <f>VLOOKUP(T40,References!$B$7:$F$252,5,FALSE)</f>
        <v>104</v>
      </c>
    </row>
    <row r="41" spans="1:21" x14ac:dyDescent="0.2">
      <c r="A41" s="868"/>
      <c r="B41" s="869"/>
      <c r="C41" s="869"/>
      <c r="D41" s="153">
        <v>499.1</v>
      </c>
      <c r="E41" s="153" t="s">
        <v>293</v>
      </c>
      <c r="F41" s="153" t="s">
        <v>985</v>
      </c>
      <c r="G41" s="239" t="s">
        <v>189</v>
      </c>
      <c r="H41" s="153" t="s">
        <v>985</v>
      </c>
      <c r="I41" s="153" t="s">
        <v>189</v>
      </c>
      <c r="J41" s="152" t="s">
        <v>1036</v>
      </c>
      <c r="K41" s="153">
        <v>180</v>
      </c>
      <c r="L41" s="153" t="s">
        <v>989</v>
      </c>
      <c r="M41" s="153" t="s">
        <v>524</v>
      </c>
      <c r="N41" s="153" t="s">
        <v>1033</v>
      </c>
      <c r="O41" s="153">
        <v>1.9E-2</v>
      </c>
      <c r="P41" s="153" t="s">
        <v>1034</v>
      </c>
      <c r="Q41" s="525">
        <f t="shared" si="5"/>
        <v>36.478947368421053</v>
      </c>
      <c r="R41" s="692">
        <f t="shared" si="6"/>
        <v>1.9E-2</v>
      </c>
      <c r="S41" s="153">
        <v>22</v>
      </c>
      <c r="T41" s="478" t="s">
        <v>1037</v>
      </c>
      <c r="U41" s="235">
        <f>VLOOKUP(T41,References!$B$7:$F$252,5,FALSE)</f>
        <v>148</v>
      </c>
    </row>
    <row r="42" spans="1:21" x14ac:dyDescent="0.2">
      <c r="A42" s="868"/>
      <c r="B42" s="869"/>
      <c r="C42" s="869"/>
      <c r="D42" s="153">
        <v>499.1</v>
      </c>
      <c r="E42" s="153" t="s">
        <v>293</v>
      </c>
      <c r="F42" s="153" t="s">
        <v>985</v>
      </c>
      <c r="G42" s="239" t="s">
        <v>189</v>
      </c>
      <c r="H42" s="153" t="s">
        <v>985</v>
      </c>
      <c r="I42" s="153" t="s">
        <v>189</v>
      </c>
      <c r="J42" s="152" t="s">
        <v>1038</v>
      </c>
      <c r="K42" s="153">
        <v>210</v>
      </c>
      <c r="L42" s="153" t="s">
        <v>989</v>
      </c>
      <c r="M42" s="153" t="s">
        <v>524</v>
      </c>
      <c r="N42" s="153" t="s">
        <v>1033</v>
      </c>
      <c r="O42" s="153">
        <v>1.77E-2</v>
      </c>
      <c r="P42" s="153" t="s">
        <v>1034</v>
      </c>
      <c r="Q42" s="525">
        <f t="shared" si="5"/>
        <v>39.158192090395481</v>
      </c>
      <c r="R42" s="692">
        <f t="shared" si="6"/>
        <v>1.77E-2</v>
      </c>
      <c r="S42" s="153">
        <v>22</v>
      </c>
      <c r="T42" s="478" t="s">
        <v>1037</v>
      </c>
      <c r="U42" s="235">
        <f>VLOOKUP(T42,References!$B$7:$F$252,5,FALSE)</f>
        <v>148</v>
      </c>
    </row>
    <row r="43" spans="1:21" x14ac:dyDescent="0.2">
      <c r="A43" s="868"/>
      <c r="B43" s="869"/>
      <c r="C43" s="869"/>
      <c r="D43" s="153">
        <v>499.1</v>
      </c>
      <c r="E43" s="153" t="s">
        <v>293</v>
      </c>
      <c r="F43" s="153" t="s">
        <v>985</v>
      </c>
      <c r="G43" s="239" t="s">
        <v>189</v>
      </c>
      <c r="H43" s="153" t="s">
        <v>985</v>
      </c>
      <c r="I43" s="153" t="s">
        <v>189</v>
      </c>
      <c r="J43" s="152" t="s">
        <v>1036</v>
      </c>
      <c r="K43" s="153">
        <v>180</v>
      </c>
      <c r="L43" s="153" t="s">
        <v>989</v>
      </c>
      <c r="M43" s="153" t="s">
        <v>524</v>
      </c>
      <c r="N43" s="153" t="s">
        <v>1033</v>
      </c>
      <c r="O43" s="153">
        <v>1.37E-2</v>
      </c>
      <c r="P43" s="153" t="s">
        <v>1034</v>
      </c>
      <c r="Q43" s="525">
        <f t="shared" si="5"/>
        <v>50.591240875912412</v>
      </c>
      <c r="R43" s="692">
        <f t="shared" si="6"/>
        <v>1.37E-2</v>
      </c>
      <c r="S43" s="153">
        <v>22</v>
      </c>
      <c r="T43" s="478" t="s">
        <v>1037</v>
      </c>
      <c r="U43" s="235">
        <f>VLOOKUP(T43,References!$B$7:$F$252,5,FALSE)</f>
        <v>148</v>
      </c>
    </row>
    <row r="44" spans="1:21" x14ac:dyDescent="0.2">
      <c r="A44" s="868"/>
      <c r="B44" s="869"/>
      <c r="C44" s="869"/>
      <c r="D44" s="153">
        <v>499.1</v>
      </c>
      <c r="E44" s="153" t="s">
        <v>293</v>
      </c>
      <c r="F44" s="153" t="s">
        <v>985</v>
      </c>
      <c r="G44" s="239" t="s">
        <v>189</v>
      </c>
      <c r="H44" s="153" t="s">
        <v>985</v>
      </c>
      <c r="I44" s="153" t="s">
        <v>189</v>
      </c>
      <c r="J44" s="152" t="s">
        <v>1038</v>
      </c>
      <c r="K44" s="153">
        <v>210</v>
      </c>
      <c r="L44" s="153" t="s">
        <v>989</v>
      </c>
      <c r="M44" s="153" t="s">
        <v>524</v>
      </c>
      <c r="N44" s="153" t="s">
        <v>1033</v>
      </c>
      <c r="O44" s="153">
        <v>1.5599999999999999E-2</v>
      </c>
      <c r="P44" s="153" t="s">
        <v>1034</v>
      </c>
      <c r="Q44" s="525">
        <f t="shared" si="5"/>
        <v>44.429487179487182</v>
      </c>
      <c r="R44" s="692">
        <f t="shared" si="6"/>
        <v>1.5599999999999999E-2</v>
      </c>
      <c r="S44" s="153">
        <v>22</v>
      </c>
      <c r="T44" s="478" t="s">
        <v>1037</v>
      </c>
      <c r="U44" s="235">
        <f>VLOOKUP(T44,References!$B$7:$F$252,5,FALSE)</f>
        <v>148</v>
      </c>
    </row>
    <row r="45" spans="1:21" ht="46.5" customHeight="1" x14ac:dyDescent="0.2">
      <c r="A45" s="879"/>
      <c r="B45" s="851"/>
      <c r="C45" s="851"/>
      <c r="D45" s="145">
        <v>499.1</v>
      </c>
      <c r="E45" s="145" t="s">
        <v>293</v>
      </c>
      <c r="F45" s="153" t="s">
        <v>985</v>
      </c>
      <c r="G45" s="239" t="s">
        <v>189</v>
      </c>
      <c r="H45" s="153" t="s">
        <v>985</v>
      </c>
      <c r="I45" s="152" t="s">
        <v>189</v>
      </c>
      <c r="J45" s="153" t="s">
        <v>668</v>
      </c>
      <c r="K45" s="153">
        <v>105</v>
      </c>
      <c r="L45" s="153" t="s">
        <v>989</v>
      </c>
      <c r="M45" s="153" t="s">
        <v>990</v>
      </c>
      <c r="N45" s="153" t="s">
        <v>991</v>
      </c>
      <c r="O45" s="153">
        <v>712</v>
      </c>
      <c r="P45" s="153" t="s">
        <v>1002</v>
      </c>
      <c r="Q45" s="525">
        <f t="shared" si="5"/>
        <v>712</v>
      </c>
      <c r="R45" s="692">
        <f t="shared" si="6"/>
        <v>9.7345505617977537E-4</v>
      </c>
      <c r="S45" s="153">
        <v>22</v>
      </c>
      <c r="T45" s="478" t="s">
        <v>1039</v>
      </c>
      <c r="U45" s="394">
        <f>VLOOKUP(T45,References!$B$7:$F$252,5,FALSE)</f>
        <v>81</v>
      </c>
    </row>
    <row r="46" spans="1:21" x14ac:dyDescent="0.2">
      <c r="A46" s="157" t="s">
        <v>298</v>
      </c>
      <c r="B46" s="152" t="s">
        <v>299</v>
      </c>
      <c r="C46" s="153" t="s">
        <v>1031</v>
      </c>
      <c r="D46" s="153">
        <v>513.20000000000005</v>
      </c>
      <c r="E46" s="153" t="s">
        <v>301</v>
      </c>
      <c r="F46" s="151"/>
      <c r="G46" s="151"/>
      <c r="H46" s="151"/>
      <c r="I46" s="145"/>
      <c r="J46" s="59"/>
      <c r="K46" s="59"/>
      <c r="L46" s="59"/>
      <c r="M46" s="59"/>
      <c r="N46" s="59"/>
      <c r="O46" s="59"/>
      <c r="P46" s="59"/>
      <c r="Q46" s="469"/>
      <c r="R46" s="327"/>
      <c r="S46" s="59"/>
      <c r="T46" s="37"/>
      <c r="U46" s="122"/>
    </row>
    <row r="47" spans="1:21" x14ac:dyDescent="0.2">
      <c r="A47" s="867" t="s">
        <v>305</v>
      </c>
      <c r="B47" s="850" t="s">
        <v>306</v>
      </c>
      <c r="C47" s="850" t="s">
        <v>1031</v>
      </c>
      <c r="D47" s="153">
        <v>527.20000000000005</v>
      </c>
      <c r="E47" s="153" t="s">
        <v>308</v>
      </c>
      <c r="F47" s="151" t="s">
        <v>985</v>
      </c>
      <c r="G47" s="153" t="s">
        <v>1040</v>
      </c>
      <c r="H47" s="151" t="s">
        <v>1032</v>
      </c>
      <c r="I47" s="153" t="s">
        <v>189</v>
      </c>
      <c r="J47" s="131" t="s">
        <v>1022</v>
      </c>
      <c r="K47" s="59">
        <v>10</v>
      </c>
      <c r="L47" s="131" t="s">
        <v>989</v>
      </c>
      <c r="M47" s="131" t="s">
        <v>990</v>
      </c>
      <c r="N47" s="131" t="s">
        <v>1033</v>
      </c>
      <c r="O47" s="131">
        <v>0.92</v>
      </c>
      <c r="P47" s="131" t="s">
        <v>1034</v>
      </c>
      <c r="Q47" s="469">
        <f t="shared" ref="Q47" si="7">IF(N47="Half-Life",O47,(0.6931/(O47)))</f>
        <v>0.75336956521739129</v>
      </c>
      <c r="R47" s="327">
        <f t="shared" ref="R47" si="8">IF(N47="Rate Constant",O47,(0.6931/(O47)))</f>
        <v>0.92</v>
      </c>
      <c r="S47" s="131">
        <v>30</v>
      </c>
      <c r="T47" s="42" t="s">
        <v>1035</v>
      </c>
      <c r="U47" s="122">
        <f>VLOOKUP(T47,References!$B$7:$F$252,5,FALSE)</f>
        <v>104</v>
      </c>
    </row>
    <row r="48" spans="1:21" ht="32" x14ac:dyDescent="0.2">
      <c r="A48" s="868"/>
      <c r="B48" s="869"/>
      <c r="C48" s="869"/>
      <c r="D48" s="153">
        <v>527.20000000000005</v>
      </c>
      <c r="E48" s="153" t="s">
        <v>308</v>
      </c>
      <c r="F48" s="151" t="s">
        <v>985</v>
      </c>
      <c r="G48" s="153" t="s">
        <v>1041</v>
      </c>
      <c r="H48" s="150" t="s">
        <v>1042</v>
      </c>
      <c r="I48" s="239" t="s">
        <v>1043</v>
      </c>
      <c r="J48" s="182" t="s">
        <v>1044</v>
      </c>
      <c r="K48" s="153">
        <v>81</v>
      </c>
      <c r="L48" s="153" t="s">
        <v>989</v>
      </c>
      <c r="M48" s="153" t="s">
        <v>990</v>
      </c>
      <c r="N48" s="239" t="s">
        <v>991</v>
      </c>
      <c r="O48" s="239">
        <v>35.799999999999997</v>
      </c>
      <c r="P48" s="239" t="s">
        <v>1002</v>
      </c>
      <c r="Q48" s="469">
        <f t="shared" ref="Q48:Q55" si="9">IF(N48="Half-Life",O48,(0.6931/(O48)))</f>
        <v>35.799999999999997</v>
      </c>
      <c r="R48" s="344">
        <f t="shared" ref="R48:R55" si="10">IF(N48="Rate Constant",O48,(0.6931/(O48)))</f>
        <v>1.936033519553073E-2</v>
      </c>
      <c r="S48" s="239">
        <v>25</v>
      </c>
      <c r="T48" s="478" t="s">
        <v>1045</v>
      </c>
      <c r="U48" s="394">
        <f>VLOOKUP(T48,References!$B$7:$F$252,5,FALSE)</f>
        <v>142</v>
      </c>
    </row>
    <row r="49" spans="1:28" ht="32" x14ac:dyDescent="0.2">
      <c r="A49" s="868"/>
      <c r="B49" s="869"/>
      <c r="C49" s="869"/>
      <c r="D49" s="153">
        <v>527.20000000000005</v>
      </c>
      <c r="E49" s="153" t="s">
        <v>308</v>
      </c>
      <c r="F49" s="151" t="s">
        <v>985</v>
      </c>
      <c r="G49" s="153" t="s">
        <v>1046</v>
      </c>
      <c r="H49" s="150" t="s">
        <v>1047</v>
      </c>
      <c r="I49" s="239" t="s">
        <v>1048</v>
      </c>
      <c r="J49" s="239" t="s">
        <v>668</v>
      </c>
      <c r="K49" s="153">
        <v>81</v>
      </c>
      <c r="L49" s="153" t="s">
        <v>989</v>
      </c>
      <c r="M49" s="153" t="s">
        <v>990</v>
      </c>
      <c r="N49" s="239" t="s">
        <v>991</v>
      </c>
      <c r="O49" s="239">
        <v>33.6</v>
      </c>
      <c r="P49" s="239" t="s">
        <v>1002</v>
      </c>
      <c r="Q49" s="469">
        <f t="shared" si="9"/>
        <v>33.6</v>
      </c>
      <c r="R49" s="344">
        <f t="shared" si="10"/>
        <v>2.062797619047619E-2</v>
      </c>
      <c r="S49" s="239">
        <v>25</v>
      </c>
      <c r="T49" s="478" t="s">
        <v>1045</v>
      </c>
      <c r="U49" s="394">
        <f>VLOOKUP(T49,References!$B$7:$F$252,5,FALSE)</f>
        <v>142</v>
      </c>
    </row>
    <row r="50" spans="1:28" ht="51" customHeight="1" x14ac:dyDescent="0.2">
      <c r="A50" s="868"/>
      <c r="B50" s="869"/>
      <c r="C50" s="869"/>
      <c r="D50" s="153">
        <v>527.20000000000005</v>
      </c>
      <c r="E50" s="152" t="s">
        <v>1049</v>
      </c>
      <c r="F50" s="153" t="s">
        <v>985</v>
      </c>
      <c r="G50" s="153" t="s">
        <v>356</v>
      </c>
      <c r="H50" s="153" t="s">
        <v>985</v>
      </c>
      <c r="I50" s="152" t="s">
        <v>1050</v>
      </c>
      <c r="J50" s="153" t="s">
        <v>668</v>
      </c>
      <c r="K50" s="153">
        <v>105</v>
      </c>
      <c r="L50" s="153" t="s">
        <v>989</v>
      </c>
      <c r="M50" s="153" t="s">
        <v>990</v>
      </c>
      <c r="N50" s="153" t="s">
        <v>991</v>
      </c>
      <c r="O50" s="153">
        <v>80.8</v>
      </c>
      <c r="P50" s="153" t="s">
        <v>1002</v>
      </c>
      <c r="Q50" s="525">
        <f t="shared" si="9"/>
        <v>80.8</v>
      </c>
      <c r="R50" s="692">
        <f t="shared" si="10"/>
        <v>8.5779702970297037E-3</v>
      </c>
      <c r="S50" s="153">
        <v>22</v>
      </c>
      <c r="T50" s="478" t="s">
        <v>1039</v>
      </c>
      <c r="U50" s="394">
        <f>VLOOKUP(T50,References!$B$7:$F$252,5,FALSE)</f>
        <v>81</v>
      </c>
    </row>
    <row r="51" spans="1:28" ht="46.5" customHeight="1" x14ac:dyDescent="0.2">
      <c r="A51" s="868"/>
      <c r="B51" s="869"/>
      <c r="C51" s="869"/>
      <c r="D51" s="153">
        <v>527.20000000000005</v>
      </c>
      <c r="E51" s="152" t="s">
        <v>1051</v>
      </c>
      <c r="F51" s="153" t="s">
        <v>985</v>
      </c>
      <c r="G51" s="153" t="s">
        <v>1052</v>
      </c>
      <c r="H51" s="153" t="s">
        <v>985</v>
      </c>
      <c r="I51" s="152" t="s">
        <v>1053</v>
      </c>
      <c r="J51" s="153" t="s">
        <v>668</v>
      </c>
      <c r="K51" s="153">
        <v>105</v>
      </c>
      <c r="L51" s="153" t="s">
        <v>989</v>
      </c>
      <c r="M51" s="153" t="s">
        <v>990</v>
      </c>
      <c r="N51" s="153" t="s">
        <v>991</v>
      </c>
      <c r="O51" s="153">
        <v>11.2</v>
      </c>
      <c r="P51" s="153" t="s">
        <v>1002</v>
      </c>
      <c r="Q51" s="525">
        <f t="shared" si="9"/>
        <v>11.2</v>
      </c>
      <c r="R51" s="692">
        <f t="shared" si="10"/>
        <v>6.1883928571428583E-2</v>
      </c>
      <c r="S51" s="153">
        <v>22</v>
      </c>
      <c r="T51" s="478" t="s">
        <v>1039</v>
      </c>
      <c r="U51" s="394">
        <f>VLOOKUP(T51,References!$B$7:$F$252,5,FALSE)</f>
        <v>81</v>
      </c>
    </row>
    <row r="52" spans="1:28" ht="46.5" customHeight="1" x14ac:dyDescent="0.2">
      <c r="A52" s="868"/>
      <c r="B52" s="869"/>
      <c r="C52" s="869"/>
      <c r="D52" s="153">
        <v>527.20000000000005</v>
      </c>
      <c r="E52" s="153" t="s">
        <v>308</v>
      </c>
      <c r="F52" s="153" t="s">
        <v>356</v>
      </c>
      <c r="G52" s="153" t="s">
        <v>1054</v>
      </c>
      <c r="H52" s="153" t="s">
        <v>985</v>
      </c>
      <c r="I52" s="153" t="s">
        <v>189</v>
      </c>
      <c r="J52" s="152" t="s">
        <v>1036</v>
      </c>
      <c r="K52" s="153">
        <v>180</v>
      </c>
      <c r="L52" s="153" t="s">
        <v>989</v>
      </c>
      <c r="M52" s="153" t="s">
        <v>524</v>
      </c>
      <c r="N52" s="153" t="s">
        <v>1033</v>
      </c>
      <c r="O52" s="153">
        <v>3.56E-2</v>
      </c>
      <c r="P52" s="153" t="s">
        <v>1034</v>
      </c>
      <c r="Q52" s="525">
        <f t="shared" si="9"/>
        <v>19.469101123595507</v>
      </c>
      <c r="R52" s="692">
        <f t="shared" si="10"/>
        <v>3.56E-2</v>
      </c>
      <c r="S52" s="153">
        <v>22</v>
      </c>
      <c r="T52" s="478" t="s">
        <v>1037</v>
      </c>
      <c r="U52" s="235">
        <f>VLOOKUP(T52,References!$B$7:$F$252,5,FALSE)</f>
        <v>148</v>
      </c>
    </row>
    <row r="53" spans="1:28" ht="46.5" customHeight="1" x14ac:dyDescent="0.2">
      <c r="A53" s="868"/>
      <c r="B53" s="869"/>
      <c r="C53" s="869"/>
      <c r="D53" s="153">
        <v>527.20000000000005</v>
      </c>
      <c r="E53" s="153" t="s">
        <v>308</v>
      </c>
      <c r="F53" s="153" t="s">
        <v>356</v>
      </c>
      <c r="G53" s="153" t="s">
        <v>1054</v>
      </c>
      <c r="H53" s="153" t="s">
        <v>985</v>
      </c>
      <c r="I53" s="153" t="s">
        <v>189</v>
      </c>
      <c r="J53" s="152" t="s">
        <v>1038</v>
      </c>
      <c r="K53" s="153">
        <v>210</v>
      </c>
      <c r="L53" s="153" t="s">
        <v>989</v>
      </c>
      <c r="M53" s="153" t="s">
        <v>524</v>
      </c>
      <c r="N53" s="153" t="s">
        <v>1033</v>
      </c>
      <c r="O53" s="153">
        <v>2.76E-2</v>
      </c>
      <c r="P53" s="153" t="s">
        <v>1034</v>
      </c>
      <c r="Q53" s="525">
        <f t="shared" si="9"/>
        <v>25.112318840579711</v>
      </c>
      <c r="R53" s="692">
        <f t="shared" si="10"/>
        <v>2.76E-2</v>
      </c>
      <c r="S53" s="153">
        <v>22</v>
      </c>
      <c r="T53" s="478" t="s">
        <v>1037</v>
      </c>
      <c r="U53" s="235">
        <f>VLOOKUP(T53,References!$B$7:$F$252,5,FALSE)</f>
        <v>148</v>
      </c>
    </row>
    <row r="54" spans="1:28" ht="46.5" customHeight="1" x14ac:dyDescent="0.2">
      <c r="A54" s="868"/>
      <c r="B54" s="869"/>
      <c r="C54" s="869"/>
      <c r="D54" s="153">
        <v>527.20000000000005</v>
      </c>
      <c r="E54" s="153" t="s">
        <v>308</v>
      </c>
      <c r="F54" s="153" t="s">
        <v>356</v>
      </c>
      <c r="G54" s="153" t="s">
        <v>1054</v>
      </c>
      <c r="H54" s="153" t="s">
        <v>985</v>
      </c>
      <c r="I54" s="153" t="s">
        <v>189</v>
      </c>
      <c r="J54" s="152" t="s">
        <v>1036</v>
      </c>
      <c r="K54" s="153">
        <v>180</v>
      </c>
      <c r="L54" s="153" t="s">
        <v>989</v>
      </c>
      <c r="M54" s="153" t="s">
        <v>524</v>
      </c>
      <c r="N54" s="153" t="s">
        <v>1033</v>
      </c>
      <c r="O54" s="153">
        <v>3.49E-2</v>
      </c>
      <c r="P54" s="153" t="s">
        <v>1034</v>
      </c>
      <c r="Q54" s="525">
        <f t="shared" si="9"/>
        <v>19.859598853868196</v>
      </c>
      <c r="R54" s="692">
        <f t="shared" si="10"/>
        <v>3.49E-2</v>
      </c>
      <c r="S54" s="153">
        <v>22</v>
      </c>
      <c r="T54" s="478" t="s">
        <v>1037</v>
      </c>
      <c r="U54" s="235">
        <f>VLOOKUP(T54,References!$B$7:$F$252,5,FALSE)</f>
        <v>148</v>
      </c>
    </row>
    <row r="55" spans="1:28" ht="46.5" customHeight="1" x14ac:dyDescent="0.2">
      <c r="A55" s="868"/>
      <c r="B55" s="869"/>
      <c r="C55" s="869"/>
      <c r="D55" s="153">
        <v>527.20000000000005</v>
      </c>
      <c r="E55" s="153" t="s">
        <v>308</v>
      </c>
      <c r="F55" s="153" t="s">
        <v>356</v>
      </c>
      <c r="G55" s="153" t="s">
        <v>1054</v>
      </c>
      <c r="H55" s="153" t="s">
        <v>985</v>
      </c>
      <c r="I55" s="153" t="s">
        <v>189</v>
      </c>
      <c r="J55" s="152" t="s">
        <v>1038</v>
      </c>
      <c r="K55" s="153">
        <v>210</v>
      </c>
      <c r="L55" s="153" t="s">
        <v>989</v>
      </c>
      <c r="M55" s="153" t="s">
        <v>524</v>
      </c>
      <c r="N55" s="153" t="s">
        <v>1033</v>
      </c>
      <c r="O55" s="153">
        <v>2.5899999999999999E-2</v>
      </c>
      <c r="P55" s="153" t="s">
        <v>1034</v>
      </c>
      <c r="Q55" s="525">
        <f t="shared" si="9"/>
        <v>26.760617760617762</v>
      </c>
      <c r="R55" s="692">
        <f t="shared" si="10"/>
        <v>2.5899999999999999E-2</v>
      </c>
      <c r="S55" s="153">
        <v>22</v>
      </c>
      <c r="T55" s="478" t="s">
        <v>1037</v>
      </c>
      <c r="U55" s="235">
        <f>VLOOKUP(T55,References!$B$7:$F$252,5,FALSE)</f>
        <v>148</v>
      </c>
    </row>
    <row r="56" spans="1:28" s="397" customFormat="1" ht="69" customHeight="1" x14ac:dyDescent="0.2">
      <c r="A56" s="879"/>
      <c r="B56" s="851"/>
      <c r="C56" s="851"/>
      <c r="D56" s="239">
        <v>527.20000000000005</v>
      </c>
      <c r="E56" s="239" t="s">
        <v>308</v>
      </c>
      <c r="F56" s="152" t="s">
        <v>985</v>
      </c>
      <c r="G56" s="152" t="s">
        <v>1055</v>
      </c>
      <c r="H56" s="152" t="s">
        <v>1056</v>
      </c>
      <c r="I56" s="182" t="s">
        <v>1057</v>
      </c>
      <c r="J56" s="239" t="s">
        <v>668</v>
      </c>
      <c r="K56" s="153">
        <v>182</v>
      </c>
      <c r="L56" s="239" t="s">
        <v>989</v>
      </c>
      <c r="M56" s="153" t="s">
        <v>990</v>
      </c>
      <c r="N56" s="239" t="s">
        <v>991</v>
      </c>
      <c r="O56" s="239">
        <v>13.9</v>
      </c>
      <c r="P56" s="239" t="s">
        <v>1002</v>
      </c>
      <c r="Q56" s="182">
        <f>IF(N56="Half-Life",O56,(0.6931/(O56)))</f>
        <v>13.9</v>
      </c>
      <c r="R56" s="762">
        <f>IF(N56="Rate Constant",O56,(0.6931/(O56)))</f>
        <v>4.9863309352517989E-2</v>
      </c>
      <c r="S56" s="239">
        <v>22</v>
      </c>
      <c r="T56" s="374" t="s">
        <v>1058</v>
      </c>
      <c r="U56" s="394">
        <f>VLOOKUP(T56,References!$B$7:$F$252,5,FALSE)</f>
        <v>85</v>
      </c>
    </row>
    <row r="57" spans="1:28" s="397" customFormat="1" ht="36.5" customHeight="1" thickBot="1" x14ac:dyDescent="0.25">
      <c r="A57" s="246" t="s">
        <v>1059</v>
      </c>
      <c r="B57" s="182" t="s">
        <v>1060</v>
      </c>
      <c r="C57" s="182" t="s">
        <v>1061</v>
      </c>
      <c r="D57" s="239">
        <v>513.27</v>
      </c>
      <c r="E57" s="239" t="s">
        <v>1062</v>
      </c>
      <c r="F57" s="152" t="s">
        <v>985</v>
      </c>
      <c r="G57" s="182" t="s">
        <v>1063</v>
      </c>
      <c r="H57" s="152" t="s">
        <v>985</v>
      </c>
      <c r="I57" s="182" t="s">
        <v>1063</v>
      </c>
      <c r="J57" s="239" t="s">
        <v>668</v>
      </c>
      <c r="K57" s="153">
        <v>180</v>
      </c>
      <c r="L57" s="153" t="s">
        <v>989</v>
      </c>
      <c r="M57" s="153" t="s">
        <v>990</v>
      </c>
      <c r="N57" s="239" t="s">
        <v>991</v>
      </c>
      <c r="O57" s="239">
        <v>127</v>
      </c>
      <c r="P57" s="239" t="s">
        <v>1002</v>
      </c>
      <c r="Q57" s="182">
        <f>IF(N57="Half-Life",O57,(0.6931/(O57)))</f>
        <v>127</v>
      </c>
      <c r="R57" s="762">
        <f>IF(N57="Rate Constant",O57,(0.6931/(O57)))</f>
        <v>5.4574803149606303E-3</v>
      </c>
      <c r="S57" s="239">
        <v>22</v>
      </c>
      <c r="T57" s="374" t="s">
        <v>1064</v>
      </c>
      <c r="U57" s="394">
        <f>VLOOKUP(T57,References!$B$7:$F$252,5,FALSE)</f>
        <v>86</v>
      </c>
    </row>
    <row r="58" spans="1:28" ht="17" thickBot="1" x14ac:dyDescent="0.25">
      <c r="A58" s="83" t="s">
        <v>326</v>
      </c>
      <c r="B58" s="176" t="s">
        <v>327</v>
      </c>
      <c r="C58" s="176"/>
      <c r="D58" s="82"/>
      <c r="E58" s="82"/>
      <c r="F58" s="82"/>
      <c r="G58" s="82"/>
      <c r="H58" s="82"/>
      <c r="I58" s="82"/>
      <c r="J58" s="79"/>
      <c r="K58" s="79"/>
      <c r="L58" s="79"/>
      <c r="M58" s="79"/>
      <c r="N58" s="79"/>
      <c r="O58" s="79"/>
      <c r="P58" s="79"/>
      <c r="Q58" s="594"/>
      <c r="R58" s="403"/>
      <c r="S58" s="79"/>
      <c r="T58" s="128"/>
      <c r="U58" s="80"/>
    </row>
    <row r="59" spans="1:28" s="2" customFormat="1" ht="15" x14ac:dyDescent="0.2">
      <c r="A59" s="295" t="s">
        <v>328</v>
      </c>
      <c r="B59" s="59" t="s">
        <v>329</v>
      </c>
      <c r="C59" s="239" t="s">
        <v>1031</v>
      </c>
      <c r="D59" s="239">
        <v>343.2</v>
      </c>
      <c r="E59" s="59" t="s">
        <v>330</v>
      </c>
      <c r="F59" s="59"/>
      <c r="G59" s="239"/>
      <c r="H59" s="59"/>
      <c r="I59" s="37"/>
      <c r="J59" s="59"/>
      <c r="K59" s="59"/>
      <c r="L59" s="59"/>
      <c r="M59" s="59"/>
      <c r="N59" s="59"/>
      <c r="O59" s="59"/>
      <c r="P59" s="37"/>
      <c r="Q59" s="59"/>
      <c r="R59" s="59"/>
      <c r="S59" s="59"/>
      <c r="T59" s="37"/>
      <c r="U59" s="122"/>
      <c r="V59" s="11"/>
      <c r="W59" s="11"/>
      <c r="X59" s="11"/>
      <c r="Y59" s="11"/>
      <c r="Z59" s="11"/>
      <c r="AA59" s="11"/>
      <c r="AB59" s="11"/>
    </row>
    <row r="60" spans="1:28" x14ac:dyDescent="0.2">
      <c r="A60" s="243" t="s">
        <v>332</v>
      </c>
      <c r="B60" s="149" t="s">
        <v>333</v>
      </c>
      <c r="C60" s="149" t="s">
        <v>1031</v>
      </c>
      <c r="D60" s="145">
        <v>543.20000000000005</v>
      </c>
      <c r="E60" s="145" t="s">
        <v>335</v>
      </c>
      <c r="F60" s="145"/>
      <c r="G60" s="145"/>
      <c r="H60" s="145"/>
      <c r="I60" s="145"/>
      <c r="J60" s="59"/>
      <c r="K60" s="59"/>
      <c r="L60" s="59"/>
      <c r="M60" s="59"/>
      <c r="N60" s="59"/>
      <c r="O60" s="59"/>
      <c r="P60" s="59"/>
      <c r="Q60" s="469"/>
      <c r="R60" s="327"/>
      <c r="S60" s="59"/>
      <c r="T60" s="37"/>
      <c r="U60" s="122"/>
    </row>
    <row r="61" spans="1:28" x14ac:dyDescent="0.2">
      <c r="A61" s="191" t="s">
        <v>1065</v>
      </c>
      <c r="B61" s="152" t="s">
        <v>1066</v>
      </c>
      <c r="C61" s="152" t="s">
        <v>1031</v>
      </c>
      <c r="D61" s="141">
        <v>357</v>
      </c>
      <c r="E61" s="153" t="s">
        <v>1067</v>
      </c>
      <c r="F61" s="153" t="s">
        <v>985</v>
      </c>
      <c r="G61" s="153" t="s">
        <v>1068</v>
      </c>
      <c r="H61" s="153" t="s">
        <v>985</v>
      </c>
      <c r="I61" s="153" t="s">
        <v>1069</v>
      </c>
      <c r="J61" s="239" t="s">
        <v>1070</v>
      </c>
      <c r="K61" s="239">
        <v>108</v>
      </c>
      <c r="L61" s="239" t="s">
        <v>995</v>
      </c>
      <c r="M61" s="239" t="s">
        <v>990</v>
      </c>
      <c r="N61" s="153" t="s">
        <v>1033</v>
      </c>
      <c r="O61" s="239">
        <v>1.9400000000000001E-2</v>
      </c>
      <c r="P61" s="239" t="s">
        <v>1034</v>
      </c>
      <c r="Q61" s="469">
        <f>IF(N61="Half-Life",O61,(0.6931/(O61)))</f>
        <v>35.726804123711339</v>
      </c>
      <c r="R61" s="344">
        <f>IF(N61="Rate Constant",O61,(0.6931/(O61)))</f>
        <v>1.9400000000000001E-2</v>
      </c>
      <c r="S61" s="239">
        <v>25</v>
      </c>
      <c r="T61" s="374" t="s">
        <v>1071</v>
      </c>
      <c r="U61" s="394">
        <f>VLOOKUP(T61,References!$B$7:$F$252,5,FALSE)</f>
        <v>72</v>
      </c>
    </row>
    <row r="62" spans="1:28" x14ac:dyDescent="0.2">
      <c r="A62" s="246" t="s">
        <v>337</v>
      </c>
      <c r="B62" s="182" t="s">
        <v>338</v>
      </c>
      <c r="C62" s="182" t="s">
        <v>1031</v>
      </c>
      <c r="D62" s="239">
        <v>557.20000000000005</v>
      </c>
      <c r="E62" s="239" t="s">
        <v>340</v>
      </c>
      <c r="F62" s="239"/>
      <c r="G62" s="239"/>
      <c r="H62" s="239"/>
      <c r="I62" s="239"/>
      <c r="J62" s="59"/>
      <c r="K62" s="59"/>
      <c r="L62" s="59"/>
      <c r="M62" s="59"/>
      <c r="N62" s="59"/>
      <c r="O62" s="59"/>
      <c r="P62" s="59"/>
      <c r="Q62" s="469"/>
      <c r="R62" s="327"/>
      <c r="S62" s="59"/>
      <c r="T62" s="37"/>
      <c r="U62" s="122"/>
    </row>
    <row r="63" spans="1:28" ht="48" x14ac:dyDescent="0.2">
      <c r="A63" s="867" t="s">
        <v>345</v>
      </c>
      <c r="B63" s="850" t="s">
        <v>346</v>
      </c>
      <c r="C63" s="850" t="s">
        <v>1031</v>
      </c>
      <c r="D63" s="153">
        <v>571.29999999999995</v>
      </c>
      <c r="E63" s="153" t="s">
        <v>348</v>
      </c>
      <c r="F63" s="153" t="s">
        <v>985</v>
      </c>
      <c r="G63" s="153" t="s">
        <v>1072</v>
      </c>
      <c r="H63" s="152" t="s">
        <v>1073</v>
      </c>
      <c r="I63" s="153" t="s">
        <v>1074</v>
      </c>
      <c r="J63" s="153" t="s">
        <v>1075</v>
      </c>
      <c r="K63" s="153">
        <v>120</v>
      </c>
      <c r="L63" s="153" t="s">
        <v>989</v>
      </c>
      <c r="M63" s="153" t="s">
        <v>990</v>
      </c>
      <c r="N63" s="153" t="s">
        <v>991</v>
      </c>
      <c r="O63" s="153">
        <v>160</v>
      </c>
      <c r="P63" s="153" t="s">
        <v>1002</v>
      </c>
      <c r="Q63" s="469">
        <f t="shared" ref="Q63" si="11">IF(N63="Half-Life",O63,(0.6931/(O63)))</f>
        <v>160</v>
      </c>
      <c r="R63" s="344">
        <f t="shared" ref="R63" si="12">IF(N63="Rate Constant",O63,(0.6931/(O63)))</f>
        <v>4.3318750000000007E-3</v>
      </c>
      <c r="S63" s="153">
        <v>4</v>
      </c>
      <c r="T63" s="478" t="s">
        <v>1076</v>
      </c>
      <c r="U63" s="394">
        <f>VLOOKUP(T63,References!$B$7:$F$252,5,FALSE)</f>
        <v>13</v>
      </c>
    </row>
    <row r="64" spans="1:28" ht="48" x14ac:dyDescent="0.2">
      <c r="A64" s="868"/>
      <c r="B64" s="869"/>
      <c r="C64" s="869"/>
      <c r="D64" s="153">
        <v>571.29999999999995</v>
      </c>
      <c r="E64" s="153" t="s">
        <v>348</v>
      </c>
      <c r="F64" s="153" t="s">
        <v>985</v>
      </c>
      <c r="G64" s="153" t="s">
        <v>1077</v>
      </c>
      <c r="H64" s="152" t="s">
        <v>1078</v>
      </c>
      <c r="I64" s="153" t="s">
        <v>1079</v>
      </c>
      <c r="J64" s="153" t="s">
        <v>1075</v>
      </c>
      <c r="K64" s="153">
        <v>120</v>
      </c>
      <c r="L64" s="153" t="s">
        <v>989</v>
      </c>
      <c r="M64" s="153" t="s">
        <v>990</v>
      </c>
      <c r="N64" s="153" t="s">
        <v>991</v>
      </c>
      <c r="O64" s="153">
        <v>44</v>
      </c>
      <c r="P64" s="153" t="s">
        <v>1002</v>
      </c>
      <c r="Q64" s="469">
        <f t="shared" ref="Q64" si="13">IF(N64="Half-Life",O64,(0.6931/(O64)))</f>
        <v>44</v>
      </c>
      <c r="R64" s="344">
        <f t="shared" ref="R64" si="14">IF(N64="Rate Constant",O64,(0.6931/(O64)))</f>
        <v>1.5752272727272729E-2</v>
      </c>
      <c r="S64" s="153">
        <v>25</v>
      </c>
      <c r="T64" s="478" t="s">
        <v>1076</v>
      </c>
      <c r="U64" s="394">
        <f>VLOOKUP(T64,References!$B$7:$F$252,5,FALSE)</f>
        <v>13</v>
      </c>
    </row>
    <row r="65" spans="1:21" ht="64" x14ac:dyDescent="0.2">
      <c r="A65" s="868"/>
      <c r="B65" s="869"/>
      <c r="C65" s="869"/>
      <c r="D65" s="153">
        <v>571.29999999999995</v>
      </c>
      <c r="E65" s="153" t="s">
        <v>348</v>
      </c>
      <c r="F65" s="153" t="s">
        <v>985</v>
      </c>
      <c r="G65" s="153" t="s">
        <v>370</v>
      </c>
      <c r="H65" s="152" t="s">
        <v>1080</v>
      </c>
      <c r="I65" s="152" t="s">
        <v>1081</v>
      </c>
      <c r="J65" s="153" t="s">
        <v>1022</v>
      </c>
      <c r="K65" s="153">
        <v>35</v>
      </c>
      <c r="L65" s="153" t="s">
        <v>989</v>
      </c>
      <c r="M65" s="153" t="s">
        <v>990</v>
      </c>
      <c r="N65" s="153" t="s">
        <v>991</v>
      </c>
      <c r="O65" s="763">
        <v>2</v>
      </c>
      <c r="P65" s="239" t="s">
        <v>1002</v>
      </c>
      <c r="Q65" s="469">
        <f t="shared" ref="Q65" si="15">IF(N65="Half-Life",O65,(0.6931/(O65)))</f>
        <v>2</v>
      </c>
      <c r="R65" s="344">
        <f t="shared" ref="R65" si="16">IF(N65="Rate Constant",O65,(0.6931/(O65)))</f>
        <v>0.34655000000000002</v>
      </c>
      <c r="S65" s="153">
        <v>28</v>
      </c>
      <c r="T65" s="374" t="s">
        <v>1082</v>
      </c>
      <c r="U65" s="394">
        <f>VLOOKUP(T65,References!$B$7:$F$252,5,FALSE)</f>
        <v>71</v>
      </c>
    </row>
    <row r="66" spans="1:21" x14ac:dyDescent="0.2">
      <c r="A66" s="868"/>
      <c r="B66" s="869"/>
      <c r="C66" s="869"/>
      <c r="D66" s="153">
        <v>571.29999999999995</v>
      </c>
      <c r="E66" s="153" t="s">
        <v>348</v>
      </c>
      <c r="F66" s="153" t="s">
        <v>985</v>
      </c>
      <c r="G66" s="153" t="s">
        <v>370</v>
      </c>
      <c r="H66" s="153" t="s">
        <v>985</v>
      </c>
      <c r="I66" s="153" t="s">
        <v>1032</v>
      </c>
      <c r="J66" s="153" t="s">
        <v>1070</v>
      </c>
      <c r="K66" s="153">
        <v>108</v>
      </c>
      <c r="L66" s="153" t="s">
        <v>995</v>
      </c>
      <c r="M66" s="153" t="s">
        <v>990</v>
      </c>
      <c r="N66" s="153" t="s">
        <v>1033</v>
      </c>
      <c r="O66" s="153">
        <v>3.7399999999999998E-4</v>
      </c>
      <c r="P66" s="239" t="s">
        <v>1034</v>
      </c>
      <c r="Q66" s="469">
        <f>IF(N66="Half-Life",O66,(0.6931/(O66)))</f>
        <v>1853.2085561497329</v>
      </c>
      <c r="R66" s="344">
        <f>IF(N66="Rate Constant",O66,(0.6931/(O66)))</f>
        <v>3.7399999999999998E-4</v>
      </c>
      <c r="S66" s="153">
        <v>25</v>
      </c>
      <c r="T66" s="374" t="s">
        <v>1071</v>
      </c>
      <c r="U66" s="394">
        <f>VLOOKUP(T66,References!$B$7:$F$252,5,FALSE)</f>
        <v>72</v>
      </c>
    </row>
    <row r="67" spans="1:21" ht="51" customHeight="1" x14ac:dyDescent="0.2">
      <c r="A67" s="868"/>
      <c r="B67" s="869"/>
      <c r="C67" s="869"/>
      <c r="D67" s="153">
        <v>571.29999999999995</v>
      </c>
      <c r="E67" s="152" t="s">
        <v>1083</v>
      </c>
      <c r="F67" s="153" t="s">
        <v>985</v>
      </c>
      <c r="G67" s="152" t="s">
        <v>370</v>
      </c>
      <c r="H67" s="152" t="s">
        <v>1084</v>
      </c>
      <c r="I67" s="152" t="s">
        <v>1085</v>
      </c>
      <c r="J67" s="153" t="s">
        <v>668</v>
      </c>
      <c r="K67" s="153">
        <v>105</v>
      </c>
      <c r="L67" s="153" t="s">
        <v>989</v>
      </c>
      <c r="M67" s="153" t="s">
        <v>990</v>
      </c>
      <c r="N67" s="153" t="s">
        <v>991</v>
      </c>
      <c r="O67" s="153">
        <v>8.6999999999999993</v>
      </c>
      <c r="P67" s="153" t="s">
        <v>1002</v>
      </c>
      <c r="Q67" s="525">
        <f t="shared" ref="Q67:Q68" si="17">IF(N67="Half-Life",O67,(0.6931/(O67)))</f>
        <v>8.6999999999999993</v>
      </c>
      <c r="R67" s="692">
        <f t="shared" ref="R67:R68" si="18">IF(N67="Rate Constant",O67,(0.6931/(O67)))</f>
        <v>7.9666666666666677E-2</v>
      </c>
      <c r="S67" s="153">
        <v>22</v>
      </c>
      <c r="T67" s="478" t="s">
        <v>1039</v>
      </c>
      <c r="U67" s="394">
        <f>VLOOKUP(T67,References!$B$7:$F$252,5,FALSE)</f>
        <v>81</v>
      </c>
    </row>
    <row r="68" spans="1:21" ht="46.5" customHeight="1" x14ac:dyDescent="0.2">
      <c r="A68" s="868"/>
      <c r="B68" s="869"/>
      <c r="C68" s="869"/>
      <c r="D68" s="153">
        <v>571.29999999999995</v>
      </c>
      <c r="E68" s="152" t="s">
        <v>1086</v>
      </c>
      <c r="F68" s="153" t="s">
        <v>985</v>
      </c>
      <c r="G68" s="152" t="s">
        <v>1087</v>
      </c>
      <c r="H68" s="152" t="s">
        <v>1088</v>
      </c>
      <c r="I68" s="152" t="s">
        <v>1089</v>
      </c>
      <c r="J68" s="153" t="s">
        <v>668</v>
      </c>
      <c r="K68" s="153">
        <v>105</v>
      </c>
      <c r="L68" s="153" t="s">
        <v>989</v>
      </c>
      <c r="M68" s="153" t="s">
        <v>990</v>
      </c>
      <c r="N68" s="153" t="s">
        <v>991</v>
      </c>
      <c r="O68" s="153">
        <v>9.6</v>
      </c>
      <c r="P68" s="153" t="s">
        <v>1002</v>
      </c>
      <c r="Q68" s="525">
        <f t="shared" si="17"/>
        <v>9.6</v>
      </c>
      <c r="R68" s="692">
        <f t="shared" si="18"/>
        <v>7.2197916666666681E-2</v>
      </c>
      <c r="S68" s="153">
        <v>22</v>
      </c>
      <c r="T68" s="478" t="s">
        <v>1039</v>
      </c>
      <c r="U68" s="394">
        <f>VLOOKUP(T68,References!$B$7:$F$252,5,FALSE)</f>
        <v>81</v>
      </c>
    </row>
    <row r="69" spans="1:21" ht="64" x14ac:dyDescent="0.2">
      <c r="A69" s="868"/>
      <c r="B69" s="869"/>
      <c r="C69" s="869"/>
      <c r="D69" s="145">
        <v>571.29999999999995</v>
      </c>
      <c r="E69" s="145" t="s">
        <v>348</v>
      </c>
      <c r="F69" s="145" t="s">
        <v>985</v>
      </c>
      <c r="G69" s="145" t="s">
        <v>370</v>
      </c>
      <c r="H69" s="182" t="s">
        <v>1090</v>
      </c>
      <c r="I69" s="153" t="s">
        <v>189</v>
      </c>
      <c r="J69" s="239" t="s">
        <v>1022</v>
      </c>
      <c r="K69" s="239">
        <v>10</v>
      </c>
      <c r="L69" s="239" t="s">
        <v>989</v>
      </c>
      <c r="M69" s="239" t="s">
        <v>990</v>
      </c>
      <c r="N69" s="239" t="s">
        <v>1033</v>
      </c>
      <c r="O69" s="239">
        <v>0.99</v>
      </c>
      <c r="P69" s="239" t="s">
        <v>1034</v>
      </c>
      <c r="Q69" s="469">
        <f t="shared" ref="Q69" si="19">IF(N69="Half-Life",O69,(0.6931/(O69)))</f>
        <v>0.70010101010101011</v>
      </c>
      <c r="R69" s="344">
        <f t="shared" ref="R69" si="20">IF(N69="Rate Constant",O69,(0.6931/(O69)))</f>
        <v>0.99</v>
      </c>
      <c r="S69" s="239">
        <v>30</v>
      </c>
      <c r="T69" s="374" t="s">
        <v>1035</v>
      </c>
      <c r="U69" s="394">
        <f>VLOOKUP(T69,References!$B$7:$F$252,5,FALSE)</f>
        <v>104</v>
      </c>
    </row>
    <row r="70" spans="1:21" ht="32" x14ac:dyDescent="0.2">
      <c r="A70" s="868"/>
      <c r="B70" s="869"/>
      <c r="C70" s="869"/>
      <c r="D70" s="153">
        <v>571.29999999999995</v>
      </c>
      <c r="E70" s="153" t="s">
        <v>348</v>
      </c>
      <c r="F70" s="153" t="s">
        <v>985</v>
      </c>
      <c r="G70" s="153" t="s">
        <v>370</v>
      </c>
      <c r="H70" s="153" t="s">
        <v>985</v>
      </c>
      <c r="I70" s="153" t="s">
        <v>985</v>
      </c>
      <c r="J70" s="152" t="s">
        <v>1091</v>
      </c>
      <c r="K70" s="153">
        <v>15</v>
      </c>
      <c r="L70" s="153" t="s">
        <v>989</v>
      </c>
      <c r="M70" s="153" t="s">
        <v>990</v>
      </c>
      <c r="N70" s="153" t="s">
        <v>991</v>
      </c>
      <c r="O70" s="153">
        <v>0.15</v>
      </c>
      <c r="P70" s="153" t="s">
        <v>1034</v>
      </c>
      <c r="Q70" s="525">
        <f t="shared" ref="Q70" si="21">IF(N70="Half-Life",O70,(0.6931/(O70)))</f>
        <v>0.15</v>
      </c>
      <c r="R70" s="692">
        <f t="shared" ref="R70" si="22">IF(N70="Rate Constant",O70,(0.6931/(O70)))</f>
        <v>4.6206666666666676</v>
      </c>
      <c r="S70" s="153">
        <v>29</v>
      </c>
      <c r="T70" s="478" t="s">
        <v>1092</v>
      </c>
      <c r="U70" s="235">
        <f>VLOOKUP(T70,References!$B$7:$F$252,5,FALSE)</f>
        <v>105</v>
      </c>
    </row>
    <row r="71" spans="1:21" ht="48" x14ac:dyDescent="0.2">
      <c r="A71" s="868"/>
      <c r="B71" s="869"/>
      <c r="C71" s="869"/>
      <c r="D71" s="153">
        <v>571.29999999999995</v>
      </c>
      <c r="E71" s="153" t="s">
        <v>348</v>
      </c>
      <c r="F71" s="153" t="s">
        <v>985</v>
      </c>
      <c r="G71" s="153" t="s">
        <v>370</v>
      </c>
      <c r="H71" s="152" t="s">
        <v>1093</v>
      </c>
      <c r="I71" s="153" t="s">
        <v>1094</v>
      </c>
      <c r="J71" s="152" t="s">
        <v>1036</v>
      </c>
      <c r="K71" s="153">
        <v>180</v>
      </c>
      <c r="L71" s="153" t="s">
        <v>989</v>
      </c>
      <c r="M71" s="153" t="s">
        <v>524</v>
      </c>
      <c r="N71" s="153" t="s">
        <v>1033</v>
      </c>
      <c r="O71" s="153">
        <v>2.2499999999999999E-2</v>
      </c>
      <c r="P71" s="153" t="s">
        <v>1034</v>
      </c>
      <c r="Q71" s="525">
        <f t="shared" ref="Q71" si="23">IF(N71="Half-Life",O71,(0.6931/(O71)))</f>
        <v>30.804444444444449</v>
      </c>
      <c r="R71" s="692">
        <f t="shared" ref="R71" si="24">IF(N71="Rate Constant",O71,(0.6931/(O71)))</f>
        <v>2.2499999999999999E-2</v>
      </c>
      <c r="S71" s="153">
        <v>22</v>
      </c>
      <c r="T71" s="478" t="s">
        <v>1037</v>
      </c>
      <c r="U71" s="235">
        <f>VLOOKUP(T71,References!$B$7:$F$252,5,FALSE)</f>
        <v>148</v>
      </c>
    </row>
    <row r="72" spans="1:21" ht="48" x14ac:dyDescent="0.2">
      <c r="A72" s="868"/>
      <c r="B72" s="869"/>
      <c r="C72" s="869"/>
      <c r="D72" s="153">
        <v>571.29999999999995</v>
      </c>
      <c r="E72" s="153" t="s">
        <v>348</v>
      </c>
      <c r="F72" s="153" t="s">
        <v>985</v>
      </c>
      <c r="G72" s="153" t="s">
        <v>370</v>
      </c>
      <c r="H72" s="152" t="s">
        <v>1093</v>
      </c>
      <c r="I72" s="153" t="s">
        <v>1095</v>
      </c>
      <c r="J72" s="152" t="s">
        <v>1038</v>
      </c>
      <c r="K72" s="153">
        <v>210</v>
      </c>
      <c r="L72" s="153" t="s">
        <v>989</v>
      </c>
      <c r="M72" s="153" t="s">
        <v>524</v>
      </c>
      <c r="N72" s="153" t="s">
        <v>1033</v>
      </c>
      <c r="O72" s="153">
        <v>2.75E-2</v>
      </c>
      <c r="P72" s="153" t="s">
        <v>1034</v>
      </c>
      <c r="Q72" s="525">
        <f t="shared" ref="Q72:Q73" si="25">IF(N72="Half-Life",O72,(0.6931/(O72)))</f>
        <v>25.203636363636367</v>
      </c>
      <c r="R72" s="692">
        <f t="shared" ref="R72:R73" si="26">IF(N72="Rate Constant",O72,(0.6931/(O72)))</f>
        <v>2.75E-2</v>
      </c>
      <c r="S72" s="153">
        <v>22</v>
      </c>
      <c r="T72" s="478" t="s">
        <v>1037</v>
      </c>
      <c r="U72" s="235">
        <f>VLOOKUP(T72,References!$B$7:$F$252,5,FALSE)</f>
        <v>148</v>
      </c>
    </row>
    <row r="73" spans="1:21" ht="48" x14ac:dyDescent="0.2">
      <c r="A73" s="868"/>
      <c r="B73" s="869"/>
      <c r="C73" s="869"/>
      <c r="D73" s="153">
        <v>571.29999999999995</v>
      </c>
      <c r="E73" s="153" t="s">
        <v>348</v>
      </c>
      <c r="F73" s="153" t="s">
        <v>985</v>
      </c>
      <c r="G73" s="153" t="s">
        <v>370</v>
      </c>
      <c r="H73" s="152" t="s">
        <v>1093</v>
      </c>
      <c r="I73" s="153" t="s">
        <v>1094</v>
      </c>
      <c r="J73" s="152" t="s">
        <v>1036</v>
      </c>
      <c r="K73" s="153">
        <v>180</v>
      </c>
      <c r="L73" s="153" t="s">
        <v>989</v>
      </c>
      <c r="M73" s="153" t="s">
        <v>524</v>
      </c>
      <c r="N73" s="153" t="s">
        <v>1033</v>
      </c>
      <c r="O73" s="153">
        <v>2.7300000000000001E-2</v>
      </c>
      <c r="P73" s="153" t="s">
        <v>1034</v>
      </c>
      <c r="Q73" s="525">
        <f t="shared" si="25"/>
        <v>25.38827838827839</v>
      </c>
      <c r="R73" s="692">
        <f t="shared" si="26"/>
        <v>2.7300000000000001E-2</v>
      </c>
      <c r="S73" s="153">
        <v>22</v>
      </c>
      <c r="T73" s="478" t="s">
        <v>1037</v>
      </c>
      <c r="U73" s="235">
        <f>VLOOKUP(T73,References!$B$7:$F$252,5,FALSE)</f>
        <v>148</v>
      </c>
    </row>
    <row r="74" spans="1:21" ht="49" thickBot="1" x14ac:dyDescent="0.25">
      <c r="A74" s="868"/>
      <c r="B74" s="869"/>
      <c r="C74" s="869"/>
      <c r="D74" s="153">
        <v>571.29999999999995</v>
      </c>
      <c r="E74" s="153" t="s">
        <v>348</v>
      </c>
      <c r="F74" s="153" t="s">
        <v>985</v>
      </c>
      <c r="G74" s="153" t="s">
        <v>370</v>
      </c>
      <c r="H74" s="152" t="s">
        <v>1093</v>
      </c>
      <c r="I74" s="153" t="s">
        <v>1095</v>
      </c>
      <c r="J74" s="152" t="s">
        <v>1038</v>
      </c>
      <c r="K74" s="153">
        <v>210</v>
      </c>
      <c r="L74" s="153" t="s">
        <v>989</v>
      </c>
      <c r="M74" s="153" t="s">
        <v>524</v>
      </c>
      <c r="N74" s="153" t="s">
        <v>1033</v>
      </c>
      <c r="O74" s="153">
        <v>3.2599999999999997E-2</v>
      </c>
      <c r="P74" s="153" t="s">
        <v>1034</v>
      </c>
      <c r="Q74" s="525">
        <f t="shared" ref="Q74" si="27">IF(N74="Half-Life",O74,(0.6931/(O74)))</f>
        <v>21.260736196319023</v>
      </c>
      <c r="R74" s="692">
        <f t="shared" ref="R74" si="28">IF(N74="Rate Constant",O74,(0.6931/(O74)))</f>
        <v>3.2599999999999997E-2</v>
      </c>
      <c r="S74" s="153">
        <v>22</v>
      </c>
      <c r="T74" s="478" t="s">
        <v>1037</v>
      </c>
      <c r="U74" s="235">
        <f>VLOOKUP(T74,References!$B$7:$F$252,5,FALSE)</f>
        <v>148</v>
      </c>
    </row>
    <row r="75" spans="1:21" ht="17" thickBot="1" x14ac:dyDescent="0.25">
      <c r="A75" s="83" t="s">
        <v>353</v>
      </c>
      <c r="B75" s="176" t="s">
        <v>354</v>
      </c>
      <c r="C75" s="176"/>
      <c r="D75" s="82"/>
      <c r="E75" s="82"/>
      <c r="F75" s="82"/>
      <c r="G75" s="82"/>
      <c r="H75" s="82"/>
      <c r="I75" s="82"/>
      <c r="J75" s="79"/>
      <c r="K75" s="79"/>
      <c r="L75" s="79"/>
      <c r="M75" s="79"/>
      <c r="N75" s="79"/>
      <c r="O75" s="79"/>
      <c r="P75" s="79"/>
      <c r="Q75" s="594"/>
      <c r="R75" s="403"/>
      <c r="S75" s="79"/>
      <c r="T75" s="128"/>
      <c r="U75" s="80"/>
    </row>
    <row r="76" spans="1:21" x14ac:dyDescent="0.2">
      <c r="A76" s="829" t="s">
        <v>355</v>
      </c>
      <c r="B76" s="896" t="s">
        <v>356</v>
      </c>
      <c r="C76" s="896" t="s">
        <v>984</v>
      </c>
      <c r="D76" s="466">
        <v>557.20000000000005</v>
      </c>
      <c r="E76" s="466" t="s">
        <v>358</v>
      </c>
      <c r="F76" s="466" t="s">
        <v>985</v>
      </c>
      <c r="G76" s="466" t="s">
        <v>1054</v>
      </c>
      <c r="H76" s="466" t="s">
        <v>1032</v>
      </c>
      <c r="I76" s="153" t="s">
        <v>189</v>
      </c>
      <c r="J76" s="296" t="s">
        <v>1022</v>
      </c>
      <c r="K76" s="296">
        <v>10</v>
      </c>
      <c r="L76" s="296" t="s">
        <v>989</v>
      </c>
      <c r="M76" s="296" t="s">
        <v>990</v>
      </c>
      <c r="N76" s="296" t="s">
        <v>1033</v>
      </c>
      <c r="O76" s="296">
        <v>0.41</v>
      </c>
      <c r="P76" s="296" t="s">
        <v>1034</v>
      </c>
      <c r="Q76" s="596">
        <f t="shared" ref="Q76:Q89" si="29">IF(N76="Half-Life",O76,(0.6931/(O76)))</f>
        <v>1.6904878048780489</v>
      </c>
      <c r="R76" s="683">
        <f t="shared" ref="R76:R89" si="30">IF(N76="Rate Constant",O76,(0.6931/(O76)))</f>
        <v>0.41</v>
      </c>
      <c r="S76" s="296">
        <v>30</v>
      </c>
      <c r="T76" s="297" t="s">
        <v>1035</v>
      </c>
      <c r="U76" s="173">
        <f>VLOOKUP(T76,References!$B$7:$F$252,5,FALSE)</f>
        <v>104</v>
      </c>
    </row>
    <row r="77" spans="1:21" x14ac:dyDescent="0.2">
      <c r="A77" s="830"/>
      <c r="B77" s="869"/>
      <c r="C77" s="869"/>
      <c r="D77" s="153">
        <v>557.20000000000005</v>
      </c>
      <c r="E77" s="153" t="s">
        <v>358</v>
      </c>
      <c r="F77" s="153" t="s">
        <v>985</v>
      </c>
      <c r="G77" s="153" t="s">
        <v>1054</v>
      </c>
      <c r="H77" s="153" t="s">
        <v>985</v>
      </c>
      <c r="I77" s="153" t="s">
        <v>189</v>
      </c>
      <c r="J77" s="152" t="s">
        <v>1036</v>
      </c>
      <c r="K77" s="153">
        <v>180</v>
      </c>
      <c r="L77" s="153" t="s">
        <v>989</v>
      </c>
      <c r="M77" s="153" t="s">
        <v>524</v>
      </c>
      <c r="N77" s="153" t="s">
        <v>1033</v>
      </c>
      <c r="O77" s="153">
        <v>7.1999999999999998E-3</v>
      </c>
      <c r="P77" s="153" t="s">
        <v>1034</v>
      </c>
      <c r="Q77" s="525">
        <f t="shared" si="29"/>
        <v>96.2638888888889</v>
      </c>
      <c r="R77" s="692">
        <f t="shared" si="30"/>
        <v>7.1999999999999998E-3</v>
      </c>
      <c r="S77" s="153">
        <v>22</v>
      </c>
      <c r="T77" s="478" t="s">
        <v>1037</v>
      </c>
      <c r="U77" s="235">
        <f>VLOOKUP(T77,References!$B$7:$F$252,5,FALSE)</f>
        <v>148</v>
      </c>
    </row>
    <row r="78" spans="1:21" x14ac:dyDescent="0.2">
      <c r="A78" s="830"/>
      <c r="B78" s="869"/>
      <c r="C78" s="869"/>
      <c r="D78" s="153">
        <v>557.20000000000005</v>
      </c>
      <c r="E78" s="153" t="s">
        <v>358</v>
      </c>
      <c r="F78" s="153" t="s">
        <v>985</v>
      </c>
      <c r="G78" s="153" t="s">
        <v>1054</v>
      </c>
      <c r="H78" s="153" t="s">
        <v>985</v>
      </c>
      <c r="I78" s="153" t="s">
        <v>189</v>
      </c>
      <c r="J78" s="152" t="s">
        <v>1038</v>
      </c>
      <c r="K78" s="153">
        <v>210</v>
      </c>
      <c r="L78" s="153" t="s">
        <v>989</v>
      </c>
      <c r="M78" s="153" t="s">
        <v>524</v>
      </c>
      <c r="N78" s="153" t="s">
        <v>1033</v>
      </c>
      <c r="O78" s="153">
        <v>2.8E-3</v>
      </c>
      <c r="P78" s="153" t="s">
        <v>1034</v>
      </c>
      <c r="Q78" s="525">
        <f t="shared" si="29"/>
        <v>247.53571428571431</v>
      </c>
      <c r="R78" s="692">
        <f t="shared" si="30"/>
        <v>2.8E-3</v>
      </c>
      <c r="S78" s="153">
        <v>22</v>
      </c>
      <c r="T78" s="478" t="s">
        <v>1037</v>
      </c>
      <c r="U78" s="235">
        <f>VLOOKUP(T78,References!$B$7:$F$252,5,FALSE)</f>
        <v>148</v>
      </c>
    </row>
    <row r="79" spans="1:21" x14ac:dyDescent="0.2">
      <c r="A79" s="830"/>
      <c r="B79" s="869"/>
      <c r="C79" s="869"/>
      <c r="D79" s="153">
        <v>557.20000000000005</v>
      </c>
      <c r="E79" s="153" t="s">
        <v>358</v>
      </c>
      <c r="F79" s="153" t="s">
        <v>985</v>
      </c>
      <c r="G79" s="153" t="s">
        <v>1054</v>
      </c>
      <c r="H79" s="153" t="s">
        <v>985</v>
      </c>
      <c r="I79" s="153" t="s">
        <v>189</v>
      </c>
      <c r="J79" s="152" t="s">
        <v>1036</v>
      </c>
      <c r="K79" s="153">
        <v>180</v>
      </c>
      <c r="L79" s="153" t="s">
        <v>989</v>
      </c>
      <c r="M79" s="153" t="s">
        <v>524</v>
      </c>
      <c r="N79" s="153" t="s">
        <v>1033</v>
      </c>
      <c r="O79" s="153">
        <v>6.6800000000000002E-3</v>
      </c>
      <c r="P79" s="153" t="s">
        <v>1034</v>
      </c>
      <c r="Q79" s="525">
        <f t="shared" si="29"/>
        <v>103.75748502994013</v>
      </c>
      <c r="R79" s="692">
        <f t="shared" si="30"/>
        <v>6.6800000000000002E-3</v>
      </c>
      <c r="S79" s="153">
        <v>22</v>
      </c>
      <c r="T79" s="478" t="s">
        <v>1037</v>
      </c>
      <c r="U79" s="235">
        <f>VLOOKUP(T79,References!$B$7:$F$252,5,FALSE)</f>
        <v>148</v>
      </c>
    </row>
    <row r="80" spans="1:21" x14ac:dyDescent="0.2">
      <c r="A80" s="830"/>
      <c r="B80" s="869"/>
      <c r="C80" s="869"/>
      <c r="D80" s="239">
        <v>557.20000000000005</v>
      </c>
      <c r="E80" s="239" t="s">
        <v>358</v>
      </c>
      <c r="F80" s="153" t="s">
        <v>985</v>
      </c>
      <c r="G80" s="239" t="s">
        <v>1054</v>
      </c>
      <c r="H80" s="153" t="s">
        <v>985</v>
      </c>
      <c r="I80" s="153" t="s">
        <v>189</v>
      </c>
      <c r="J80" s="152" t="s">
        <v>1038</v>
      </c>
      <c r="K80" s="153">
        <v>210</v>
      </c>
      <c r="L80" s="153" t="s">
        <v>989</v>
      </c>
      <c r="M80" s="153" t="s">
        <v>524</v>
      </c>
      <c r="N80" s="153" t="s">
        <v>1033</v>
      </c>
      <c r="O80" s="153">
        <v>2.0799999999999998E-3</v>
      </c>
      <c r="P80" s="153" t="s">
        <v>1034</v>
      </c>
      <c r="Q80" s="525">
        <f t="shared" si="29"/>
        <v>333.22115384615392</v>
      </c>
      <c r="R80" s="692">
        <f t="shared" si="30"/>
        <v>2.0799999999999998E-3</v>
      </c>
      <c r="S80" s="153">
        <v>22</v>
      </c>
      <c r="T80" s="478" t="s">
        <v>1037</v>
      </c>
      <c r="U80" s="235">
        <f>VLOOKUP(T80,References!$B$7:$F$252,5,FALSE)</f>
        <v>148</v>
      </c>
    </row>
    <row r="81" spans="1:21" s="465" customFormat="1" x14ac:dyDescent="0.2">
      <c r="A81" s="847"/>
      <c r="B81" s="851"/>
      <c r="C81" s="851"/>
      <c r="D81" s="141">
        <v>557.20000000000005</v>
      </c>
      <c r="E81" s="153" t="s">
        <v>358</v>
      </c>
      <c r="F81" s="153" t="s">
        <v>985</v>
      </c>
      <c r="G81" s="153" t="s">
        <v>1054</v>
      </c>
      <c r="H81" s="153" t="s">
        <v>985</v>
      </c>
      <c r="I81" s="153" t="s">
        <v>189</v>
      </c>
      <c r="J81" s="141" t="s">
        <v>668</v>
      </c>
      <c r="K81" s="163">
        <v>150</v>
      </c>
      <c r="L81" s="141" t="s">
        <v>989</v>
      </c>
      <c r="M81" s="153" t="s">
        <v>990</v>
      </c>
      <c r="N81" s="141" t="s">
        <v>991</v>
      </c>
      <c r="O81" s="758">
        <v>1000</v>
      </c>
      <c r="P81" s="153" t="s">
        <v>1002</v>
      </c>
      <c r="Q81" s="764">
        <f t="shared" si="29"/>
        <v>1000</v>
      </c>
      <c r="R81" s="692">
        <f t="shared" si="30"/>
        <v>6.931000000000001E-4</v>
      </c>
      <c r="S81" s="153">
        <v>22</v>
      </c>
      <c r="T81" s="478" t="s">
        <v>1096</v>
      </c>
      <c r="U81" s="235">
        <f>VLOOKUP(T81,References!$B$7:$F$252,5,FALSE)</f>
        <v>82</v>
      </c>
    </row>
    <row r="82" spans="1:21" x14ac:dyDescent="0.2">
      <c r="A82" s="191" t="s">
        <v>362</v>
      </c>
      <c r="B82" s="152" t="s">
        <v>363</v>
      </c>
      <c r="C82" s="182" t="s">
        <v>984</v>
      </c>
      <c r="D82" s="239">
        <v>571.20000000000005</v>
      </c>
      <c r="E82" s="239" t="s">
        <v>365</v>
      </c>
      <c r="F82" s="239"/>
      <c r="G82" s="239"/>
      <c r="H82" s="239"/>
      <c r="I82" s="239"/>
      <c r="J82" s="59"/>
      <c r="K82" s="59"/>
      <c r="L82" s="59"/>
      <c r="M82" s="59"/>
      <c r="N82" s="59"/>
      <c r="O82" s="59"/>
      <c r="P82" s="59"/>
      <c r="Q82" s="469"/>
      <c r="R82" s="327"/>
      <c r="S82" s="59"/>
      <c r="T82" s="37"/>
      <c r="U82" s="122"/>
    </row>
    <row r="83" spans="1:21" ht="48" x14ac:dyDescent="0.2">
      <c r="A83" s="849" t="s">
        <v>369</v>
      </c>
      <c r="B83" s="850" t="s">
        <v>370</v>
      </c>
      <c r="C83" s="850" t="s">
        <v>984</v>
      </c>
      <c r="D83" s="153">
        <v>585.20000000000005</v>
      </c>
      <c r="E83" s="153" t="s">
        <v>372</v>
      </c>
      <c r="F83" s="153" t="s">
        <v>985</v>
      </c>
      <c r="G83" s="153" t="s">
        <v>1097</v>
      </c>
      <c r="H83" s="152" t="s">
        <v>1098</v>
      </c>
      <c r="I83" s="153" t="s">
        <v>189</v>
      </c>
      <c r="J83" s="145" t="s">
        <v>1022</v>
      </c>
      <c r="K83" s="145">
        <v>10</v>
      </c>
      <c r="L83" s="145" t="s">
        <v>989</v>
      </c>
      <c r="M83" s="145" t="s">
        <v>990</v>
      </c>
      <c r="N83" s="145" t="s">
        <v>1033</v>
      </c>
      <c r="O83" s="153">
        <v>9.2999999999999999E-2</v>
      </c>
      <c r="P83" s="145" t="s">
        <v>1034</v>
      </c>
      <c r="Q83" s="433">
        <f t="shared" si="29"/>
        <v>7.4526881720430111</v>
      </c>
      <c r="R83" s="376">
        <f t="shared" si="30"/>
        <v>9.2999999999999999E-2</v>
      </c>
      <c r="S83" s="145">
        <v>30</v>
      </c>
      <c r="T83" s="272" t="s">
        <v>1035</v>
      </c>
      <c r="U83" s="394">
        <f>VLOOKUP(T83,References!$B$7:$F$252,5,FALSE)</f>
        <v>104</v>
      </c>
    </row>
    <row r="84" spans="1:21" ht="32" x14ac:dyDescent="0.2">
      <c r="A84" s="830"/>
      <c r="B84" s="869"/>
      <c r="C84" s="869"/>
      <c r="D84" s="153">
        <v>585.20000000000005</v>
      </c>
      <c r="E84" s="153" t="s">
        <v>372</v>
      </c>
      <c r="F84" s="153" t="s">
        <v>985</v>
      </c>
      <c r="G84" s="153" t="s">
        <v>1097</v>
      </c>
      <c r="H84" s="152" t="s">
        <v>1099</v>
      </c>
      <c r="I84" s="153" t="s">
        <v>189</v>
      </c>
      <c r="J84" s="152" t="s">
        <v>1036</v>
      </c>
      <c r="K84" s="153">
        <v>180</v>
      </c>
      <c r="L84" s="153" t="s">
        <v>989</v>
      </c>
      <c r="M84" s="153" t="s">
        <v>524</v>
      </c>
      <c r="N84" s="153" t="s">
        <v>1033</v>
      </c>
      <c r="O84" s="239">
        <v>2.0799999999999998E-3</v>
      </c>
      <c r="P84" s="153" t="s">
        <v>1034</v>
      </c>
      <c r="Q84" s="525">
        <f t="shared" si="29"/>
        <v>333.22115384615392</v>
      </c>
      <c r="R84" s="692">
        <f t="shared" si="30"/>
        <v>2.0799999999999998E-3</v>
      </c>
      <c r="S84" s="153">
        <v>22</v>
      </c>
      <c r="T84" s="478" t="s">
        <v>1037</v>
      </c>
      <c r="U84" s="235">
        <f>VLOOKUP(T84,References!$B$7:$F$252,5,FALSE)</f>
        <v>148</v>
      </c>
    </row>
    <row r="85" spans="1:21" ht="32" x14ac:dyDescent="0.2">
      <c r="A85" s="830"/>
      <c r="B85" s="869"/>
      <c r="C85" s="869"/>
      <c r="D85" s="153">
        <v>585.20000000000005</v>
      </c>
      <c r="E85" s="153" t="s">
        <v>372</v>
      </c>
      <c r="F85" s="153" t="s">
        <v>985</v>
      </c>
      <c r="G85" s="153" t="s">
        <v>1097</v>
      </c>
      <c r="H85" s="152" t="s">
        <v>1099</v>
      </c>
      <c r="I85" s="153" t="s">
        <v>189</v>
      </c>
      <c r="J85" s="152" t="s">
        <v>1038</v>
      </c>
      <c r="K85" s="153">
        <v>210</v>
      </c>
      <c r="L85" s="153" t="s">
        <v>989</v>
      </c>
      <c r="M85" s="153" t="s">
        <v>524</v>
      </c>
      <c r="N85" s="153" t="s">
        <v>1033</v>
      </c>
      <c r="O85" s="153">
        <v>2.4199999999999998E-3</v>
      </c>
      <c r="P85" s="153" t="s">
        <v>1034</v>
      </c>
      <c r="Q85" s="525">
        <f t="shared" si="29"/>
        <v>286.40495867768601</v>
      </c>
      <c r="R85" s="692">
        <f t="shared" si="30"/>
        <v>2.4199999999999998E-3</v>
      </c>
      <c r="S85" s="153">
        <v>22</v>
      </c>
      <c r="T85" s="478" t="s">
        <v>1037</v>
      </c>
      <c r="U85" s="235">
        <f>VLOOKUP(T85,References!$B$7:$F$252,5,FALSE)</f>
        <v>148</v>
      </c>
    </row>
    <row r="86" spans="1:21" ht="32" x14ac:dyDescent="0.2">
      <c r="A86" s="830"/>
      <c r="B86" s="869"/>
      <c r="C86" s="869"/>
      <c r="D86" s="153">
        <v>585.20000000000005</v>
      </c>
      <c r="E86" s="153" t="s">
        <v>372</v>
      </c>
      <c r="F86" s="153" t="s">
        <v>985</v>
      </c>
      <c r="G86" s="153" t="s">
        <v>1097</v>
      </c>
      <c r="H86" s="152" t="s">
        <v>1099</v>
      </c>
      <c r="I86" s="153" t="s">
        <v>189</v>
      </c>
      <c r="J86" s="152" t="s">
        <v>1036</v>
      </c>
      <c r="K86" s="153">
        <v>180</v>
      </c>
      <c r="L86" s="153" t="s">
        <v>989</v>
      </c>
      <c r="M86" s="153" t="s">
        <v>524</v>
      </c>
      <c r="N86" s="153" t="s">
        <v>1033</v>
      </c>
      <c r="O86" s="153">
        <v>1.6199999999999999E-3</v>
      </c>
      <c r="P86" s="153" t="s">
        <v>1034</v>
      </c>
      <c r="Q86" s="525">
        <f t="shared" si="29"/>
        <v>427.83950617283955</v>
      </c>
      <c r="R86" s="692">
        <f t="shared" si="30"/>
        <v>1.6199999999999999E-3</v>
      </c>
      <c r="S86" s="153">
        <v>22</v>
      </c>
      <c r="T86" s="478" t="s">
        <v>1037</v>
      </c>
      <c r="U86" s="235">
        <f>VLOOKUP(T86,References!$B$7:$F$252,5,FALSE)</f>
        <v>148</v>
      </c>
    </row>
    <row r="87" spans="1:21" ht="32" x14ac:dyDescent="0.2">
      <c r="A87" s="830"/>
      <c r="B87" s="869"/>
      <c r="C87" s="869"/>
      <c r="D87" s="153">
        <v>585.20000000000005</v>
      </c>
      <c r="E87" s="153" t="s">
        <v>372</v>
      </c>
      <c r="F87" s="153" t="s">
        <v>985</v>
      </c>
      <c r="G87" s="153" t="s">
        <v>1097</v>
      </c>
      <c r="H87" s="152" t="s">
        <v>1099</v>
      </c>
      <c r="I87" s="153" t="s">
        <v>189</v>
      </c>
      <c r="J87" s="152" t="s">
        <v>1038</v>
      </c>
      <c r="K87" s="153">
        <v>210</v>
      </c>
      <c r="L87" s="153" t="s">
        <v>989</v>
      </c>
      <c r="M87" s="153" t="s">
        <v>524</v>
      </c>
      <c r="N87" s="153" t="s">
        <v>1033</v>
      </c>
      <c r="O87" s="145">
        <v>2.1700000000000001E-3</v>
      </c>
      <c r="P87" s="153" t="s">
        <v>1034</v>
      </c>
      <c r="Q87" s="525">
        <f t="shared" si="29"/>
        <v>319.40092165898619</v>
      </c>
      <c r="R87" s="692">
        <f t="shared" si="30"/>
        <v>2.1700000000000001E-3</v>
      </c>
      <c r="S87" s="153">
        <v>22</v>
      </c>
      <c r="T87" s="478" t="s">
        <v>1037</v>
      </c>
      <c r="U87" s="235">
        <f>VLOOKUP(T87,References!$B$7:$F$252,5,FALSE)</f>
        <v>148</v>
      </c>
    </row>
    <row r="88" spans="1:21" ht="48" x14ac:dyDescent="0.2">
      <c r="A88" s="830"/>
      <c r="B88" s="869"/>
      <c r="C88" s="869"/>
      <c r="D88" s="153">
        <v>585.20000000000005</v>
      </c>
      <c r="E88" s="152" t="s">
        <v>1100</v>
      </c>
      <c r="F88" s="153" t="s">
        <v>985</v>
      </c>
      <c r="G88" s="153" t="s">
        <v>1097</v>
      </c>
      <c r="H88" s="152" t="s">
        <v>1054</v>
      </c>
      <c r="I88" s="152" t="s">
        <v>1085</v>
      </c>
      <c r="J88" s="153" t="s">
        <v>668</v>
      </c>
      <c r="K88" s="153">
        <v>105</v>
      </c>
      <c r="L88" s="153" t="s">
        <v>989</v>
      </c>
      <c r="M88" s="153" t="s">
        <v>990</v>
      </c>
      <c r="N88" s="153" t="s">
        <v>991</v>
      </c>
      <c r="O88" s="153">
        <v>280</v>
      </c>
      <c r="P88" s="153" t="s">
        <v>1002</v>
      </c>
      <c r="Q88" s="525">
        <f t="shared" ref="Q88" si="31">IF(N88="Half-Life",O88,(0.6931/(O88)))</f>
        <v>280</v>
      </c>
      <c r="R88" s="692">
        <f t="shared" ref="R88" si="32">IF(N88="Rate Constant",O88,(0.6931/(O88)))</f>
        <v>2.4753571428571429E-3</v>
      </c>
      <c r="S88" s="153">
        <v>22</v>
      </c>
      <c r="T88" s="478" t="s">
        <v>1039</v>
      </c>
      <c r="U88" s="394">
        <f>VLOOKUP(T88,References!$B$7:$F$252,5,FALSE)</f>
        <v>81</v>
      </c>
    </row>
    <row r="89" spans="1:21" ht="46.5" customHeight="1" thickBot="1" x14ac:dyDescent="0.25">
      <c r="A89" s="844"/>
      <c r="B89" s="881"/>
      <c r="C89" s="881"/>
      <c r="D89" s="145">
        <v>585.20000000000005</v>
      </c>
      <c r="E89" s="149" t="s">
        <v>1101</v>
      </c>
      <c r="F89" s="239" t="s">
        <v>985</v>
      </c>
      <c r="G89" s="145" t="s">
        <v>1097</v>
      </c>
      <c r="H89" s="182" t="s">
        <v>1054</v>
      </c>
      <c r="I89" s="182" t="s">
        <v>1085</v>
      </c>
      <c r="J89" s="239" t="s">
        <v>668</v>
      </c>
      <c r="K89" s="239">
        <v>105</v>
      </c>
      <c r="L89" s="239" t="s">
        <v>989</v>
      </c>
      <c r="M89" s="239" t="s">
        <v>990</v>
      </c>
      <c r="N89" s="239" t="s">
        <v>991</v>
      </c>
      <c r="O89" s="239">
        <v>653</v>
      </c>
      <c r="P89" s="239" t="s">
        <v>1002</v>
      </c>
      <c r="Q89" s="469">
        <f t="shared" si="29"/>
        <v>653</v>
      </c>
      <c r="R89" s="344">
        <f t="shared" si="30"/>
        <v>1.0614088820826953E-3</v>
      </c>
      <c r="S89" s="239">
        <v>22</v>
      </c>
      <c r="T89" s="374" t="s">
        <v>1039</v>
      </c>
      <c r="U89" s="394">
        <f>VLOOKUP(T89,References!$B$7:$F$252,5,FALSE)</f>
        <v>81</v>
      </c>
    </row>
    <row r="90" spans="1:21" ht="17" thickBot="1" x14ac:dyDescent="0.25">
      <c r="A90" s="78" t="s">
        <v>376</v>
      </c>
      <c r="B90" s="158" t="s">
        <v>377</v>
      </c>
      <c r="C90" s="158"/>
      <c r="D90" s="82"/>
      <c r="E90" s="82"/>
      <c r="F90" s="82"/>
      <c r="G90" s="82"/>
      <c r="H90" s="82"/>
      <c r="I90" s="82"/>
      <c r="J90" s="79"/>
      <c r="K90" s="79"/>
      <c r="L90" s="79"/>
      <c r="M90" s="79"/>
      <c r="N90" s="79"/>
      <c r="O90" s="79"/>
      <c r="P90" s="79"/>
      <c r="Q90" s="594"/>
      <c r="R90" s="403"/>
      <c r="S90" s="79"/>
      <c r="T90" s="128"/>
      <c r="U90" s="80"/>
    </row>
    <row r="91" spans="1:21" s="397" customFormat="1" ht="48" x14ac:dyDescent="0.2">
      <c r="A91" s="186" t="s">
        <v>378</v>
      </c>
      <c r="B91" s="149" t="s">
        <v>379</v>
      </c>
      <c r="C91" s="149" t="s">
        <v>1031</v>
      </c>
      <c r="D91" s="145">
        <v>264.10000000000002</v>
      </c>
      <c r="E91" s="145" t="s">
        <v>380</v>
      </c>
      <c r="F91" s="153" t="s">
        <v>985</v>
      </c>
      <c r="G91" s="182" t="s">
        <v>1102</v>
      </c>
      <c r="H91" s="153" t="s">
        <v>985</v>
      </c>
      <c r="I91" s="149" t="s">
        <v>1103</v>
      </c>
      <c r="J91" s="145" t="s">
        <v>1104</v>
      </c>
      <c r="K91" s="145">
        <v>32</v>
      </c>
      <c r="L91" s="151" t="s">
        <v>989</v>
      </c>
      <c r="M91" s="239" t="s">
        <v>990</v>
      </c>
      <c r="N91" s="151" t="s">
        <v>991</v>
      </c>
      <c r="O91" s="239">
        <v>1.5</v>
      </c>
      <c r="P91" s="239" t="s">
        <v>1002</v>
      </c>
      <c r="Q91" s="182">
        <f t="shared" ref="Q91:Q109" si="33">IF(N91="Half-Life",O91,(0.6931/(O91)))</f>
        <v>1.5</v>
      </c>
      <c r="R91" s="344">
        <f t="shared" ref="R91:R109" si="34">IF(N91="Rate Constant",O91,(0.6931/(O91)))</f>
        <v>0.46206666666666668</v>
      </c>
      <c r="S91" s="239" t="s">
        <v>33</v>
      </c>
      <c r="T91" s="374" t="s">
        <v>1105</v>
      </c>
      <c r="U91" s="394">
        <f>VLOOKUP(T91,References!$B$7:$F$252,5,FALSE)</f>
        <v>122</v>
      </c>
    </row>
    <row r="92" spans="1:21" s="397" customFormat="1" ht="64" x14ac:dyDescent="0.2">
      <c r="A92" s="867" t="s">
        <v>386</v>
      </c>
      <c r="B92" s="850" t="s">
        <v>387</v>
      </c>
      <c r="C92" s="850" t="s">
        <v>1031</v>
      </c>
      <c r="D92" s="153">
        <v>364.1</v>
      </c>
      <c r="E92" s="153" t="s">
        <v>388</v>
      </c>
      <c r="F92" s="153" t="s">
        <v>985</v>
      </c>
      <c r="G92" s="182" t="s">
        <v>1106</v>
      </c>
      <c r="H92" s="153" t="s">
        <v>985</v>
      </c>
      <c r="I92" s="152" t="s">
        <v>1107</v>
      </c>
      <c r="J92" s="153" t="s">
        <v>1104</v>
      </c>
      <c r="K92" s="151">
        <v>32</v>
      </c>
      <c r="L92" s="151" t="s">
        <v>989</v>
      </c>
      <c r="M92" s="239" t="s">
        <v>990</v>
      </c>
      <c r="N92" s="151" t="s">
        <v>991</v>
      </c>
      <c r="O92" s="239">
        <v>1.5</v>
      </c>
      <c r="P92" s="239" t="s">
        <v>1002</v>
      </c>
      <c r="Q92" s="182">
        <f t="shared" si="33"/>
        <v>1.5</v>
      </c>
      <c r="R92" s="344">
        <f t="shared" si="34"/>
        <v>0.46206666666666668</v>
      </c>
      <c r="S92" s="239" t="s">
        <v>33</v>
      </c>
      <c r="T92" s="374" t="s">
        <v>1105</v>
      </c>
      <c r="U92" s="394">
        <f>VLOOKUP(T92,References!$B$7:$F$252,5,FALSE)</f>
        <v>122</v>
      </c>
    </row>
    <row r="93" spans="1:21" s="397" customFormat="1" ht="64" x14ac:dyDescent="0.2">
      <c r="A93" s="868"/>
      <c r="B93" s="869"/>
      <c r="C93" s="869"/>
      <c r="D93" s="153">
        <v>364.1</v>
      </c>
      <c r="E93" s="153" t="s">
        <v>388</v>
      </c>
      <c r="F93" s="153" t="s">
        <v>985</v>
      </c>
      <c r="G93" s="182" t="s">
        <v>231</v>
      </c>
      <c r="H93" s="152" t="s">
        <v>1108</v>
      </c>
      <c r="I93" s="152" t="s">
        <v>1109</v>
      </c>
      <c r="J93" s="153" t="s">
        <v>663</v>
      </c>
      <c r="K93" s="151">
        <v>28</v>
      </c>
      <c r="L93" s="151" t="s">
        <v>989</v>
      </c>
      <c r="M93" s="239" t="s">
        <v>990</v>
      </c>
      <c r="N93" s="151" t="s">
        <v>991</v>
      </c>
      <c r="O93" s="763">
        <v>3</v>
      </c>
      <c r="P93" s="153" t="s">
        <v>1002</v>
      </c>
      <c r="Q93" s="152">
        <f t="shared" ref="Q93" si="35">IF(N93="Half-Life",O93,(0.6931/(O93)))</f>
        <v>3</v>
      </c>
      <c r="R93" s="692">
        <f t="shared" ref="R93" si="36">IF(N93="Rate Constant",O93,(0.6931/(O93)))</f>
        <v>0.23103333333333334</v>
      </c>
      <c r="S93" s="239" t="s">
        <v>1007</v>
      </c>
      <c r="T93" s="374" t="s">
        <v>1110</v>
      </c>
      <c r="U93" s="394">
        <f>VLOOKUP(T93,References!$B$7:$F$252,5,FALSE)</f>
        <v>147</v>
      </c>
    </row>
    <row r="94" spans="1:21" s="397" customFormat="1" ht="54.75" customHeight="1" x14ac:dyDescent="0.2">
      <c r="A94" s="868"/>
      <c r="B94" s="869"/>
      <c r="C94" s="869"/>
      <c r="D94" s="153">
        <v>364.1</v>
      </c>
      <c r="E94" s="153" t="s">
        <v>388</v>
      </c>
      <c r="F94" s="153" t="s">
        <v>985</v>
      </c>
      <c r="G94" s="152" t="s">
        <v>1111</v>
      </c>
      <c r="H94" s="152" t="s">
        <v>1112</v>
      </c>
      <c r="I94" s="152" t="s">
        <v>1113</v>
      </c>
      <c r="J94" s="153" t="s">
        <v>1114</v>
      </c>
      <c r="K94" s="153" t="s">
        <v>1115</v>
      </c>
      <c r="L94" s="153" t="s">
        <v>995</v>
      </c>
      <c r="M94" s="153" t="s">
        <v>990</v>
      </c>
      <c r="N94" s="153" t="s">
        <v>991</v>
      </c>
      <c r="O94" s="763">
        <v>30</v>
      </c>
      <c r="P94" s="153" t="s">
        <v>1002</v>
      </c>
      <c r="Q94" s="152">
        <f t="shared" si="33"/>
        <v>30</v>
      </c>
      <c r="R94" s="692">
        <f t="shared" si="34"/>
        <v>2.3103333333333333E-2</v>
      </c>
      <c r="S94" s="153">
        <v>29</v>
      </c>
      <c r="T94" s="478" t="s">
        <v>1116</v>
      </c>
      <c r="U94" s="394">
        <f>VLOOKUP(T94,References!$B$7:$F$252,5,FALSE)</f>
        <v>145</v>
      </c>
    </row>
    <row r="95" spans="1:21" s="397" customFormat="1" ht="80" x14ac:dyDescent="0.2">
      <c r="A95" s="868"/>
      <c r="B95" s="869"/>
      <c r="C95" s="869"/>
      <c r="D95" s="153">
        <v>364.1</v>
      </c>
      <c r="E95" s="153" t="s">
        <v>388</v>
      </c>
      <c r="F95" s="153" t="s">
        <v>985</v>
      </c>
      <c r="G95" s="152" t="s">
        <v>1111</v>
      </c>
      <c r="H95" s="152" t="s">
        <v>1117</v>
      </c>
      <c r="I95" s="152" t="s">
        <v>1118</v>
      </c>
      <c r="J95" s="153" t="s">
        <v>1006</v>
      </c>
      <c r="K95" s="153">
        <v>100</v>
      </c>
      <c r="L95" s="153" t="s">
        <v>989</v>
      </c>
      <c r="M95" s="153" t="s">
        <v>990</v>
      </c>
      <c r="N95" s="153" t="s">
        <v>991</v>
      </c>
      <c r="O95" s="239">
        <v>1.8</v>
      </c>
      <c r="P95" s="153" t="s">
        <v>1002</v>
      </c>
      <c r="Q95" s="152">
        <f t="shared" ref="Q95" si="37">IF(N95="Half-Life",O95,(0.6931/(O95)))</f>
        <v>1.8</v>
      </c>
      <c r="R95" s="692">
        <f t="shared" ref="R95" si="38">IF(N95="Rate Constant",O95,(0.6931/(O95)))</f>
        <v>0.3850555555555556</v>
      </c>
      <c r="S95" s="239" t="s">
        <v>33</v>
      </c>
      <c r="T95" s="374" t="s">
        <v>1119</v>
      </c>
      <c r="U95" s="394">
        <f>VLOOKUP(T95,References!$B$7:$F$252,5,FALSE)</f>
        <v>152</v>
      </c>
    </row>
    <row r="96" spans="1:21" s="397" customFormat="1" ht="64" x14ac:dyDescent="0.2">
      <c r="A96" s="868"/>
      <c r="B96" s="869"/>
      <c r="C96" s="869"/>
      <c r="D96" s="153">
        <v>364.1</v>
      </c>
      <c r="E96" s="153" t="s">
        <v>388</v>
      </c>
      <c r="F96" s="153" t="s">
        <v>985</v>
      </c>
      <c r="G96" s="152" t="s">
        <v>1111</v>
      </c>
      <c r="H96" s="152" t="s">
        <v>1120</v>
      </c>
      <c r="I96" s="152" t="s">
        <v>1121</v>
      </c>
      <c r="J96" s="152" t="s">
        <v>1122</v>
      </c>
      <c r="K96" s="153">
        <v>52</v>
      </c>
      <c r="L96" s="153" t="s">
        <v>989</v>
      </c>
      <c r="M96" s="153" t="s">
        <v>990</v>
      </c>
      <c r="N96" s="153" t="s">
        <v>1033</v>
      </c>
      <c r="O96" s="239">
        <v>8.2799999999999999E-2</v>
      </c>
      <c r="P96" s="239" t="s">
        <v>1034</v>
      </c>
      <c r="Q96" s="182">
        <f t="shared" ref="Q96:Q97" si="39">IF(N96="Half-Life",O96,(0.6931/(O96)))</f>
        <v>8.3707729468599048</v>
      </c>
      <c r="R96" s="344">
        <f t="shared" ref="R96:R97" si="40">IF(N96="Rate Constant",O96,(0.6931/(O96)))</f>
        <v>8.2799999999999999E-2</v>
      </c>
      <c r="S96" s="239">
        <v>59</v>
      </c>
      <c r="T96" s="374" t="s">
        <v>1123</v>
      </c>
      <c r="U96" s="394">
        <f>VLOOKUP(T96,References!$B$7:$F$252,5,FALSE)</f>
        <v>100</v>
      </c>
    </row>
    <row r="97" spans="1:21" s="397" customFormat="1" ht="80" x14ac:dyDescent="0.2">
      <c r="A97" s="868"/>
      <c r="B97" s="869"/>
      <c r="C97" s="869"/>
      <c r="D97" s="153">
        <v>364.1</v>
      </c>
      <c r="E97" s="153" t="s">
        <v>388</v>
      </c>
      <c r="F97" s="153" t="s">
        <v>985</v>
      </c>
      <c r="G97" s="152" t="s">
        <v>1111</v>
      </c>
      <c r="H97" s="153" t="s">
        <v>985</v>
      </c>
      <c r="I97" s="152" t="s">
        <v>1124</v>
      </c>
      <c r="J97" s="152" t="s">
        <v>1125</v>
      </c>
      <c r="K97" s="153">
        <v>84</v>
      </c>
      <c r="L97" s="153" t="s">
        <v>989</v>
      </c>
      <c r="M97" s="153" t="s">
        <v>990</v>
      </c>
      <c r="N97" s="239" t="s">
        <v>991</v>
      </c>
      <c r="O97" s="239">
        <v>1.3</v>
      </c>
      <c r="P97" s="239" t="s">
        <v>1002</v>
      </c>
      <c r="Q97" s="182">
        <f t="shared" si="39"/>
        <v>1.3</v>
      </c>
      <c r="R97" s="344">
        <f t="shared" si="40"/>
        <v>0.5331538461538462</v>
      </c>
      <c r="S97" s="239" t="s">
        <v>33</v>
      </c>
      <c r="T97" s="374" t="s">
        <v>1126</v>
      </c>
      <c r="U97" s="394">
        <f>VLOOKUP(T97,References!$B$7:$F$252,5,FALSE)</f>
        <v>80</v>
      </c>
    </row>
    <row r="98" spans="1:21" s="397" customFormat="1" ht="64" x14ac:dyDescent="0.2">
      <c r="A98" s="868"/>
      <c r="B98" s="869"/>
      <c r="C98" s="869"/>
      <c r="D98" s="153">
        <v>364.1</v>
      </c>
      <c r="E98" s="153" t="s">
        <v>388</v>
      </c>
      <c r="F98" s="153" t="s">
        <v>985</v>
      </c>
      <c r="G98" s="153" t="s">
        <v>1127</v>
      </c>
      <c r="H98" s="152" t="s">
        <v>1128</v>
      </c>
      <c r="I98" s="152" t="s">
        <v>1129</v>
      </c>
      <c r="J98" s="152" t="s">
        <v>1130</v>
      </c>
      <c r="K98" s="153">
        <v>90</v>
      </c>
      <c r="L98" s="153" t="s">
        <v>989</v>
      </c>
      <c r="M98" s="153" t="s">
        <v>990</v>
      </c>
      <c r="N98" s="153" t="s">
        <v>991</v>
      </c>
      <c r="O98" s="153">
        <v>1.3</v>
      </c>
      <c r="P98" s="153" t="s">
        <v>1002</v>
      </c>
      <c r="Q98" s="152">
        <f t="shared" si="33"/>
        <v>1.3</v>
      </c>
      <c r="R98" s="692">
        <f t="shared" si="34"/>
        <v>0.5331538461538462</v>
      </c>
      <c r="S98" s="153" t="s">
        <v>1007</v>
      </c>
      <c r="T98" s="478" t="s">
        <v>1131</v>
      </c>
      <c r="U98" s="235">
        <f>VLOOKUP(T98,References!$B$7:$F$252,5,FALSE)</f>
        <v>79</v>
      </c>
    </row>
    <row r="99" spans="1:21" s="397" customFormat="1" ht="80" x14ac:dyDescent="0.2">
      <c r="A99" s="879"/>
      <c r="B99" s="851"/>
      <c r="C99" s="851"/>
      <c r="D99" s="153">
        <v>364.1</v>
      </c>
      <c r="E99" s="153" t="s">
        <v>388</v>
      </c>
      <c r="F99" s="153" t="s">
        <v>985</v>
      </c>
      <c r="G99" s="153" t="s">
        <v>231</v>
      </c>
      <c r="H99" s="152" t="s">
        <v>1132</v>
      </c>
      <c r="I99" s="152" t="s">
        <v>1133</v>
      </c>
      <c r="J99" s="153" t="s">
        <v>668</v>
      </c>
      <c r="K99" s="153">
        <v>180</v>
      </c>
      <c r="L99" s="153" t="s">
        <v>989</v>
      </c>
      <c r="M99" s="153" t="s">
        <v>990</v>
      </c>
      <c r="N99" s="153" t="s">
        <v>991</v>
      </c>
      <c r="O99" s="153">
        <v>1.6</v>
      </c>
      <c r="P99" s="153" t="s">
        <v>1002</v>
      </c>
      <c r="Q99" s="152">
        <f t="shared" si="33"/>
        <v>1.6</v>
      </c>
      <c r="R99" s="692">
        <f t="shared" si="34"/>
        <v>0.4331875</v>
      </c>
      <c r="S99" s="153" t="s">
        <v>1007</v>
      </c>
      <c r="T99" s="478" t="s">
        <v>1131</v>
      </c>
      <c r="U99" s="235">
        <f>VLOOKUP(T99,References!$B$7:$F$252,5,FALSE)</f>
        <v>79</v>
      </c>
    </row>
    <row r="100" spans="1:21" s="397" customFormat="1" ht="32" x14ac:dyDescent="0.2">
      <c r="A100" s="867" t="s">
        <v>395</v>
      </c>
      <c r="B100" s="850" t="s">
        <v>396</v>
      </c>
      <c r="C100" s="850" t="s">
        <v>1031</v>
      </c>
      <c r="D100" s="151">
        <v>464.1</v>
      </c>
      <c r="E100" s="151" t="s">
        <v>397</v>
      </c>
      <c r="F100" s="239" t="s">
        <v>985</v>
      </c>
      <c r="G100" s="153" t="s">
        <v>1134</v>
      </c>
      <c r="H100" s="152" t="s">
        <v>1135</v>
      </c>
      <c r="I100" s="152" t="s">
        <v>1136</v>
      </c>
      <c r="J100" s="153" t="s">
        <v>668</v>
      </c>
      <c r="K100" s="151">
        <v>400</v>
      </c>
      <c r="L100" s="151" t="s">
        <v>995</v>
      </c>
      <c r="M100" s="239" t="s">
        <v>990</v>
      </c>
      <c r="N100" s="239" t="s">
        <v>991</v>
      </c>
      <c r="O100" s="239">
        <v>36.6</v>
      </c>
      <c r="P100" s="239" t="s">
        <v>1002</v>
      </c>
      <c r="Q100" s="757">
        <f t="shared" ref="Q100:Q101" si="41">IF(N100="Half-Life",O100,(0.6931/(O100)))</f>
        <v>36.6</v>
      </c>
      <c r="R100" s="692">
        <f t="shared" ref="R100:R101" si="42">IF(N100="Rate Constant",O100,(0.6931/(O100)))</f>
        <v>1.8937158469945356E-2</v>
      </c>
      <c r="S100" s="239" t="s">
        <v>33</v>
      </c>
      <c r="T100" s="374" t="s">
        <v>1137</v>
      </c>
      <c r="U100" s="394">
        <f>VLOOKUP(T100,References!$B$7:$F$252,5,FALSE)</f>
        <v>137</v>
      </c>
    </row>
    <row r="101" spans="1:21" s="397" customFormat="1" ht="32" x14ac:dyDescent="0.2">
      <c r="A101" s="868"/>
      <c r="B101" s="869"/>
      <c r="C101" s="869"/>
      <c r="D101" s="151">
        <v>464.1</v>
      </c>
      <c r="E101" s="151" t="s">
        <v>397</v>
      </c>
      <c r="F101" s="239" t="s">
        <v>985</v>
      </c>
      <c r="G101" s="153" t="s">
        <v>1134</v>
      </c>
      <c r="H101" s="152" t="s">
        <v>1138</v>
      </c>
      <c r="I101" s="152" t="s">
        <v>1136</v>
      </c>
      <c r="J101" s="152" t="s">
        <v>1139</v>
      </c>
      <c r="K101" s="151">
        <v>400</v>
      </c>
      <c r="L101" s="151" t="s">
        <v>995</v>
      </c>
      <c r="M101" s="239" t="s">
        <v>990</v>
      </c>
      <c r="N101" s="239" t="s">
        <v>991</v>
      </c>
      <c r="O101" s="239">
        <v>12.5</v>
      </c>
      <c r="P101" s="239" t="s">
        <v>1002</v>
      </c>
      <c r="Q101" s="757">
        <f t="shared" si="41"/>
        <v>12.5</v>
      </c>
      <c r="R101" s="692">
        <f t="shared" si="42"/>
        <v>5.5448000000000004E-2</v>
      </c>
      <c r="S101" s="239" t="s">
        <v>33</v>
      </c>
      <c r="T101" s="374" t="s">
        <v>1137</v>
      </c>
      <c r="U101" s="394">
        <f>VLOOKUP(T101,References!$B$7:$F$252,5,FALSE)</f>
        <v>137</v>
      </c>
    </row>
    <row r="102" spans="1:21" s="397" customFormat="1" ht="27" customHeight="1" x14ac:dyDescent="0.2">
      <c r="A102" s="868"/>
      <c r="B102" s="869"/>
      <c r="C102" s="869"/>
      <c r="D102" s="151">
        <v>464.1</v>
      </c>
      <c r="E102" s="151" t="s">
        <v>397</v>
      </c>
      <c r="F102" s="239" t="s">
        <v>985</v>
      </c>
      <c r="G102" s="153" t="s">
        <v>243</v>
      </c>
      <c r="H102" s="152" t="s">
        <v>1140</v>
      </c>
      <c r="I102" s="152" t="s">
        <v>78</v>
      </c>
      <c r="J102" s="153" t="s">
        <v>668</v>
      </c>
      <c r="K102" s="151">
        <v>90</v>
      </c>
      <c r="L102" s="151" t="s">
        <v>989</v>
      </c>
      <c r="M102" s="239" t="s">
        <v>990</v>
      </c>
      <c r="N102" s="239" t="s">
        <v>991</v>
      </c>
      <c r="O102" s="239">
        <v>3</v>
      </c>
      <c r="P102" s="239" t="s">
        <v>1002</v>
      </c>
      <c r="Q102" s="757">
        <f t="shared" si="33"/>
        <v>3</v>
      </c>
      <c r="R102" s="692">
        <f t="shared" si="34"/>
        <v>0.23103333333333334</v>
      </c>
      <c r="S102" s="239">
        <v>25</v>
      </c>
      <c r="T102" s="374" t="s">
        <v>1141</v>
      </c>
      <c r="U102" s="394">
        <f>VLOOKUP(T102,References!$B$7:$F$252,5,FALSE)</f>
        <v>31</v>
      </c>
    </row>
    <row r="103" spans="1:21" s="397" customFormat="1" ht="48" x14ac:dyDescent="0.2">
      <c r="A103" s="868"/>
      <c r="B103" s="869"/>
      <c r="C103" s="869"/>
      <c r="D103" s="151">
        <v>464.1</v>
      </c>
      <c r="E103" s="151" t="s">
        <v>397</v>
      </c>
      <c r="F103" s="239" t="s">
        <v>985</v>
      </c>
      <c r="G103" s="153" t="s">
        <v>1004</v>
      </c>
      <c r="H103" s="153" t="s">
        <v>1004</v>
      </c>
      <c r="I103" s="152" t="s">
        <v>1142</v>
      </c>
      <c r="J103" s="765" t="s">
        <v>1143</v>
      </c>
      <c r="K103" s="151">
        <v>1</v>
      </c>
      <c r="L103" s="151" t="s">
        <v>989</v>
      </c>
      <c r="M103" s="239" t="s">
        <v>990</v>
      </c>
      <c r="N103" s="239" t="s">
        <v>1033</v>
      </c>
      <c r="O103" s="239">
        <v>6.0999999999999999E-2</v>
      </c>
      <c r="P103" s="239" t="s">
        <v>1034</v>
      </c>
      <c r="Q103" s="757">
        <f t="shared" ref="Q103:Q105" si="43">IF(N103="Half-Life",O103,(0.6931/(O103)))</f>
        <v>11.362295081967215</v>
      </c>
      <c r="R103" s="692">
        <f t="shared" ref="R103:R105" si="44">IF(N103="Rate Constant",O103,(0.6931/(O103)))</f>
        <v>6.0999999999999999E-2</v>
      </c>
      <c r="S103" s="239">
        <v>20</v>
      </c>
      <c r="T103" s="374" t="s">
        <v>1144</v>
      </c>
      <c r="U103" s="394">
        <f>VLOOKUP(T103,References!$B$7:$F$252,5,FALSE)</f>
        <v>141</v>
      </c>
    </row>
    <row r="104" spans="1:21" s="397" customFormat="1" ht="48" x14ac:dyDescent="0.2">
      <c r="A104" s="868"/>
      <c r="B104" s="869"/>
      <c r="C104" s="869"/>
      <c r="D104" s="151">
        <v>464.1</v>
      </c>
      <c r="E104" s="151" t="s">
        <v>397</v>
      </c>
      <c r="F104" s="239" t="s">
        <v>985</v>
      </c>
      <c r="G104" s="153" t="s">
        <v>1004</v>
      </c>
      <c r="H104" s="153" t="s">
        <v>1004</v>
      </c>
      <c r="I104" s="152" t="s">
        <v>1145</v>
      </c>
      <c r="J104" s="152" t="s">
        <v>1143</v>
      </c>
      <c r="K104" s="151">
        <v>1</v>
      </c>
      <c r="L104" s="151" t="s">
        <v>1146</v>
      </c>
      <c r="M104" s="239" t="s">
        <v>990</v>
      </c>
      <c r="N104" s="239" t="s">
        <v>1033</v>
      </c>
      <c r="O104" s="239">
        <v>1.24E-2</v>
      </c>
      <c r="P104" s="239" t="s">
        <v>1034</v>
      </c>
      <c r="Q104" s="757">
        <f t="shared" si="43"/>
        <v>55.895161290322584</v>
      </c>
      <c r="R104" s="692">
        <f t="shared" si="44"/>
        <v>1.24E-2</v>
      </c>
      <c r="S104" s="239">
        <v>20</v>
      </c>
      <c r="T104" s="374" t="s">
        <v>1144</v>
      </c>
      <c r="U104" s="394">
        <f>VLOOKUP(T104,References!$B$7:$F$252,5,FALSE)</f>
        <v>141</v>
      </c>
    </row>
    <row r="105" spans="1:21" s="397" customFormat="1" ht="48" x14ac:dyDescent="0.2">
      <c r="A105" s="868"/>
      <c r="B105" s="869"/>
      <c r="C105" s="869"/>
      <c r="D105" s="151">
        <v>464.1</v>
      </c>
      <c r="E105" s="151" t="s">
        <v>397</v>
      </c>
      <c r="F105" s="239" t="s">
        <v>985</v>
      </c>
      <c r="G105" s="153" t="s">
        <v>1004</v>
      </c>
      <c r="H105" s="153" t="s">
        <v>1004</v>
      </c>
      <c r="I105" s="152" t="s">
        <v>1147</v>
      </c>
      <c r="J105" s="152" t="s">
        <v>1143</v>
      </c>
      <c r="K105" s="151">
        <v>1</v>
      </c>
      <c r="L105" s="151" t="s">
        <v>995</v>
      </c>
      <c r="M105" s="239" t="s">
        <v>990</v>
      </c>
      <c r="N105" s="239" t="s">
        <v>1033</v>
      </c>
      <c r="O105" s="239">
        <v>5.8100000000000001E-3</v>
      </c>
      <c r="P105" s="239" t="s">
        <v>1034</v>
      </c>
      <c r="Q105" s="757">
        <f t="shared" si="43"/>
        <v>119.29432013769365</v>
      </c>
      <c r="R105" s="692">
        <f t="shared" si="44"/>
        <v>5.8100000000000001E-3</v>
      </c>
      <c r="S105" s="239">
        <v>20</v>
      </c>
      <c r="T105" s="374" t="s">
        <v>1144</v>
      </c>
      <c r="U105" s="394">
        <f>VLOOKUP(T105,References!$B$7:$F$252,5,FALSE)</f>
        <v>141</v>
      </c>
    </row>
    <row r="106" spans="1:21" s="397" customFormat="1" ht="48" x14ac:dyDescent="0.2">
      <c r="A106" s="868"/>
      <c r="B106" s="869"/>
      <c r="C106" s="869"/>
      <c r="D106" s="151">
        <v>464.1</v>
      </c>
      <c r="E106" s="151" t="s">
        <v>397</v>
      </c>
      <c r="F106" s="239" t="s">
        <v>985</v>
      </c>
      <c r="G106" s="152" t="s">
        <v>1148</v>
      </c>
      <c r="H106" s="152" t="s">
        <v>1149</v>
      </c>
      <c r="I106" s="152" t="s">
        <v>1150</v>
      </c>
      <c r="J106" s="152" t="s">
        <v>1012</v>
      </c>
      <c r="K106" s="151">
        <v>90</v>
      </c>
      <c r="L106" s="153" t="s">
        <v>989</v>
      </c>
      <c r="M106" s="239" t="s">
        <v>990</v>
      </c>
      <c r="N106" s="153" t="s">
        <v>991</v>
      </c>
      <c r="O106" s="766">
        <v>365</v>
      </c>
      <c r="P106" s="153" t="s">
        <v>1002</v>
      </c>
      <c r="Q106" s="152">
        <f>IF(N106="Half-Life",O106,(0.6931/(O106)))</f>
        <v>365</v>
      </c>
      <c r="R106" s="692">
        <f>IF(N106="Rate Constant",O106,(0.6931/(O106)))</f>
        <v>1.8989041095890413E-3</v>
      </c>
      <c r="S106" s="239">
        <v>20</v>
      </c>
      <c r="T106" s="374" t="s">
        <v>1013</v>
      </c>
      <c r="U106" s="394">
        <f>VLOOKUP(T106,References!$B$7:$F$252,5,FALSE)</f>
        <v>45</v>
      </c>
    </row>
    <row r="107" spans="1:21" s="397" customFormat="1" ht="32" x14ac:dyDescent="0.2">
      <c r="A107" s="868"/>
      <c r="B107" s="869"/>
      <c r="C107" s="869"/>
      <c r="D107" s="151">
        <v>464.1</v>
      </c>
      <c r="E107" s="151" t="s">
        <v>397</v>
      </c>
      <c r="F107" s="239" t="s">
        <v>985</v>
      </c>
      <c r="G107" s="153" t="s">
        <v>1151</v>
      </c>
      <c r="H107" s="152" t="s">
        <v>1152</v>
      </c>
      <c r="I107" s="152" t="s">
        <v>1153</v>
      </c>
      <c r="J107" s="152" t="s">
        <v>1114</v>
      </c>
      <c r="K107" s="151" t="s">
        <v>1115</v>
      </c>
      <c r="L107" s="151" t="s">
        <v>995</v>
      </c>
      <c r="M107" s="153" t="s">
        <v>990</v>
      </c>
      <c r="N107" s="153" t="s">
        <v>991</v>
      </c>
      <c r="O107" s="153">
        <v>145</v>
      </c>
      <c r="P107" s="153" t="s">
        <v>1002</v>
      </c>
      <c r="Q107" s="152">
        <f t="shared" si="33"/>
        <v>145</v>
      </c>
      <c r="R107" s="692">
        <f t="shared" si="34"/>
        <v>4.7800000000000004E-3</v>
      </c>
      <c r="S107" s="239">
        <v>29</v>
      </c>
      <c r="T107" s="374" t="s">
        <v>1116</v>
      </c>
      <c r="U107" s="394">
        <f>VLOOKUP(T107,References!$B$7:$F$252,5,FALSE)</f>
        <v>145</v>
      </c>
    </row>
    <row r="108" spans="1:21" s="397" customFormat="1" ht="50" x14ac:dyDescent="0.2">
      <c r="A108" s="868"/>
      <c r="B108" s="869"/>
      <c r="C108" s="869"/>
      <c r="D108" s="151">
        <v>464.1</v>
      </c>
      <c r="E108" s="151" t="s">
        <v>397</v>
      </c>
      <c r="F108" s="239" t="s">
        <v>985</v>
      </c>
      <c r="G108" s="152" t="s">
        <v>1151</v>
      </c>
      <c r="H108" s="152" t="s">
        <v>1154</v>
      </c>
      <c r="I108" s="152" t="s">
        <v>1618</v>
      </c>
      <c r="J108" s="153" t="s">
        <v>668</v>
      </c>
      <c r="K108" s="153" t="s">
        <v>1155</v>
      </c>
      <c r="L108" s="153" t="s">
        <v>989</v>
      </c>
      <c r="M108" s="153" t="s">
        <v>990</v>
      </c>
      <c r="N108" s="239" t="s">
        <v>991</v>
      </c>
      <c r="O108" s="763">
        <v>7</v>
      </c>
      <c r="P108" s="153" t="s">
        <v>1002</v>
      </c>
      <c r="Q108" s="152">
        <f t="shared" si="33"/>
        <v>7</v>
      </c>
      <c r="R108" s="692">
        <f t="shared" si="34"/>
        <v>9.9014285714285721E-2</v>
      </c>
      <c r="S108" s="153" t="s">
        <v>1007</v>
      </c>
      <c r="T108" s="478" t="s">
        <v>1156</v>
      </c>
      <c r="U108" s="394">
        <f>VLOOKUP(T108,References!$B$7:$F$252,5,FALSE)</f>
        <v>126</v>
      </c>
    </row>
    <row r="109" spans="1:21" s="397" customFormat="1" ht="48" x14ac:dyDescent="0.2">
      <c r="A109" s="879"/>
      <c r="B109" s="851"/>
      <c r="C109" s="851"/>
      <c r="D109" s="151">
        <v>464.1</v>
      </c>
      <c r="E109" s="151" t="s">
        <v>397</v>
      </c>
      <c r="F109" s="239" t="s">
        <v>985</v>
      </c>
      <c r="G109" s="152" t="s">
        <v>1151</v>
      </c>
      <c r="H109" s="152" t="s">
        <v>1154</v>
      </c>
      <c r="I109" s="149" t="s">
        <v>1619</v>
      </c>
      <c r="J109" s="153" t="s">
        <v>668</v>
      </c>
      <c r="K109" s="145" t="s">
        <v>1157</v>
      </c>
      <c r="L109" s="153" t="s">
        <v>989</v>
      </c>
      <c r="M109" s="153" t="s">
        <v>990</v>
      </c>
      <c r="N109" s="239" t="s">
        <v>991</v>
      </c>
      <c r="O109" s="763">
        <v>2</v>
      </c>
      <c r="P109" s="153" t="s">
        <v>1002</v>
      </c>
      <c r="Q109" s="152">
        <f t="shared" si="33"/>
        <v>2</v>
      </c>
      <c r="R109" s="692">
        <f t="shared" si="34"/>
        <v>0.34655000000000002</v>
      </c>
      <c r="S109" s="153" t="s">
        <v>1007</v>
      </c>
      <c r="T109" s="478" t="s">
        <v>1156</v>
      </c>
      <c r="U109" s="394">
        <f>VLOOKUP(T109,References!$B$7:$F$252,5,FALSE)</f>
        <v>126</v>
      </c>
    </row>
    <row r="110" spans="1:21" ht="17" thickBot="1" x14ac:dyDescent="0.25">
      <c r="A110" s="236" t="s">
        <v>406</v>
      </c>
      <c r="B110" s="150" t="s">
        <v>407</v>
      </c>
      <c r="C110" s="150" t="s">
        <v>1031</v>
      </c>
      <c r="D110" s="151">
        <v>564.1</v>
      </c>
      <c r="E110" s="151" t="s">
        <v>408</v>
      </c>
      <c r="F110" s="151"/>
      <c r="G110" s="151"/>
      <c r="H110" s="151"/>
      <c r="I110" s="151"/>
      <c r="J110" s="57"/>
      <c r="K110" s="57"/>
      <c r="L110" s="57"/>
      <c r="M110" s="58"/>
      <c r="N110" s="58"/>
      <c r="O110" s="58"/>
      <c r="P110" s="58"/>
      <c r="Q110" s="433"/>
      <c r="R110" s="354"/>
      <c r="S110" s="58"/>
      <c r="T110" s="30"/>
      <c r="U110" s="100"/>
    </row>
    <row r="111" spans="1:21" ht="17" thickBot="1" x14ac:dyDescent="0.25">
      <c r="A111" s="78" t="s">
        <v>1158</v>
      </c>
      <c r="B111" s="158" t="s">
        <v>1159</v>
      </c>
      <c r="C111" s="158"/>
      <c r="D111" s="82"/>
      <c r="E111" s="82"/>
      <c r="F111" s="82"/>
      <c r="G111" s="82"/>
      <c r="H111" s="82"/>
      <c r="I111" s="82"/>
      <c r="J111" s="79"/>
      <c r="K111" s="79"/>
      <c r="L111" s="79"/>
      <c r="M111" s="79"/>
      <c r="N111" s="79"/>
      <c r="O111" s="79"/>
      <c r="P111" s="79"/>
      <c r="Q111" s="594"/>
      <c r="R111" s="403"/>
      <c r="S111" s="79"/>
      <c r="T111" s="128"/>
      <c r="U111" s="80"/>
    </row>
    <row r="112" spans="1:21" s="397" customFormat="1" ht="66" customHeight="1" x14ac:dyDescent="0.2">
      <c r="A112" s="895" t="s">
        <v>1160</v>
      </c>
      <c r="B112" s="896" t="s">
        <v>1161</v>
      </c>
      <c r="C112" s="896" t="s">
        <v>984</v>
      </c>
      <c r="D112" s="239">
        <v>790.18</v>
      </c>
      <c r="E112" s="239" t="s">
        <v>1162</v>
      </c>
      <c r="F112" s="153" t="s">
        <v>985</v>
      </c>
      <c r="G112" s="182" t="s">
        <v>1163</v>
      </c>
      <c r="H112" s="152" t="s">
        <v>1164</v>
      </c>
      <c r="I112" s="182" t="s">
        <v>1165</v>
      </c>
      <c r="J112" s="239" t="s">
        <v>668</v>
      </c>
      <c r="K112" s="153">
        <v>112</v>
      </c>
      <c r="L112" s="153" t="s">
        <v>989</v>
      </c>
      <c r="M112" s="153" t="s">
        <v>990</v>
      </c>
      <c r="N112" s="239" t="s">
        <v>991</v>
      </c>
      <c r="O112" s="239">
        <v>12</v>
      </c>
      <c r="P112" s="239" t="s">
        <v>1002</v>
      </c>
      <c r="Q112" s="182">
        <f t="shared" ref="Q112:Q115" si="45">IF(N112="Half-Life",O112,(0.6931/(O112)))</f>
        <v>12</v>
      </c>
      <c r="R112" s="762">
        <f t="shared" ref="R112:R115" si="46">IF(N112="Rate Constant",O112,(0.6931/(O112)))</f>
        <v>5.7758333333333335E-2</v>
      </c>
      <c r="S112" s="239" t="s">
        <v>33</v>
      </c>
      <c r="T112" s="374" t="s">
        <v>1166</v>
      </c>
      <c r="U112" s="394">
        <f>VLOOKUP(T112,References!$B$7:$F$252,5,FALSE)</f>
        <v>78</v>
      </c>
    </row>
    <row r="113" spans="1:21" s="397" customFormat="1" ht="64" x14ac:dyDescent="0.2">
      <c r="A113" s="879"/>
      <c r="B113" s="851"/>
      <c r="C113" s="851"/>
      <c r="D113" s="239">
        <v>790.18</v>
      </c>
      <c r="E113" s="239" t="s">
        <v>1162</v>
      </c>
      <c r="F113" s="152" t="s">
        <v>1004</v>
      </c>
      <c r="G113" s="152" t="s">
        <v>1004</v>
      </c>
      <c r="H113" s="152" t="s">
        <v>1004</v>
      </c>
      <c r="I113" s="182" t="s">
        <v>1168</v>
      </c>
      <c r="J113" s="182" t="s">
        <v>1169</v>
      </c>
      <c r="K113" s="153">
        <v>118</v>
      </c>
      <c r="L113" s="153" t="s">
        <v>989</v>
      </c>
      <c r="M113" s="153" t="s">
        <v>990</v>
      </c>
      <c r="N113" s="239" t="s">
        <v>991</v>
      </c>
      <c r="O113" s="239">
        <v>33</v>
      </c>
      <c r="P113" s="239" t="s">
        <v>1002</v>
      </c>
      <c r="Q113" s="182">
        <f t="shared" si="45"/>
        <v>33</v>
      </c>
      <c r="R113" s="762">
        <f t="shared" si="46"/>
        <v>2.1003030303030305E-2</v>
      </c>
      <c r="S113" s="239" t="s">
        <v>33</v>
      </c>
      <c r="T113" s="374" t="s">
        <v>1170</v>
      </c>
      <c r="U113" s="394">
        <f>VLOOKUP(T113,References!$B$7:$F$252,5,FALSE)</f>
        <v>55</v>
      </c>
    </row>
    <row r="114" spans="1:21" s="397" customFormat="1" ht="64" x14ac:dyDescent="0.2">
      <c r="A114" s="867" t="s">
        <v>1171</v>
      </c>
      <c r="B114" s="850" t="s">
        <v>1172</v>
      </c>
      <c r="C114" s="850" t="s">
        <v>984</v>
      </c>
      <c r="D114" s="239">
        <v>990.21</v>
      </c>
      <c r="E114" s="239" t="s">
        <v>1173</v>
      </c>
      <c r="F114" s="153" t="s">
        <v>985</v>
      </c>
      <c r="G114" s="182" t="s">
        <v>1174</v>
      </c>
      <c r="H114" s="152" t="s">
        <v>985</v>
      </c>
      <c r="I114" s="182" t="s">
        <v>1175</v>
      </c>
      <c r="J114" s="239" t="s">
        <v>668</v>
      </c>
      <c r="K114" s="153">
        <v>112</v>
      </c>
      <c r="L114" s="153" t="s">
        <v>989</v>
      </c>
      <c r="M114" s="153" t="s">
        <v>990</v>
      </c>
      <c r="N114" s="239" t="s">
        <v>991</v>
      </c>
      <c r="O114" s="766">
        <v>1000</v>
      </c>
      <c r="P114" s="239" t="s">
        <v>1002</v>
      </c>
      <c r="Q114" s="182">
        <f t="shared" si="45"/>
        <v>1000</v>
      </c>
      <c r="R114" s="762">
        <f t="shared" si="46"/>
        <v>6.931000000000001E-4</v>
      </c>
      <c r="S114" s="239" t="s">
        <v>33</v>
      </c>
      <c r="T114" s="374" t="s">
        <v>1166</v>
      </c>
      <c r="U114" s="394">
        <f>VLOOKUP(T114,References!$B$7:$F$252,5,FALSE)</f>
        <v>78</v>
      </c>
    </row>
    <row r="115" spans="1:21" s="397" customFormat="1" ht="80" x14ac:dyDescent="0.2">
      <c r="A115" s="879"/>
      <c r="B115" s="851"/>
      <c r="C115" s="851"/>
      <c r="D115" s="239">
        <v>990.21</v>
      </c>
      <c r="E115" s="239" t="s">
        <v>1173</v>
      </c>
      <c r="F115" s="152" t="s">
        <v>1004</v>
      </c>
      <c r="G115" s="152" t="s">
        <v>1004</v>
      </c>
      <c r="H115" s="152" t="s">
        <v>1004</v>
      </c>
      <c r="I115" s="182" t="s">
        <v>1176</v>
      </c>
      <c r="J115" s="182" t="s">
        <v>1169</v>
      </c>
      <c r="K115" s="153">
        <v>118</v>
      </c>
      <c r="L115" s="153" t="s">
        <v>989</v>
      </c>
      <c r="M115" s="153" t="s">
        <v>990</v>
      </c>
      <c r="N115" s="239" t="s">
        <v>991</v>
      </c>
      <c r="O115" s="239">
        <v>78</v>
      </c>
      <c r="P115" s="239" t="s">
        <v>1002</v>
      </c>
      <c r="Q115" s="182">
        <f t="shared" si="45"/>
        <v>78</v>
      </c>
      <c r="R115" s="762">
        <f t="shared" si="46"/>
        <v>8.8858974358974364E-3</v>
      </c>
      <c r="S115" s="239" t="s">
        <v>33</v>
      </c>
      <c r="T115" s="374" t="s">
        <v>1170</v>
      </c>
      <c r="U115" s="394">
        <f>VLOOKUP(T115,References!$B$7:$F$252,5,FALSE)</f>
        <v>55</v>
      </c>
    </row>
    <row r="116" spans="1:21" ht="32" x14ac:dyDescent="0.2">
      <c r="A116" s="157" t="s">
        <v>315</v>
      </c>
      <c r="B116" s="152" t="s">
        <v>316</v>
      </c>
      <c r="C116" s="152" t="s">
        <v>1031</v>
      </c>
      <c r="D116" s="153">
        <v>651.23</v>
      </c>
      <c r="E116" s="153" t="s">
        <v>317</v>
      </c>
      <c r="F116" s="153"/>
      <c r="G116" s="239"/>
      <c r="H116" s="153"/>
      <c r="I116" s="153"/>
      <c r="J116" s="153"/>
      <c r="K116" s="153"/>
      <c r="L116" s="153"/>
      <c r="M116" s="131"/>
      <c r="N116" s="153"/>
      <c r="O116" s="153"/>
      <c r="P116" s="131"/>
      <c r="Q116" s="152"/>
      <c r="R116" s="767"/>
      <c r="S116" s="131"/>
      <c r="T116" s="42"/>
      <c r="U116" s="124"/>
    </row>
    <row r="117" spans="1:21" ht="34.5" customHeight="1" x14ac:dyDescent="0.2">
      <c r="A117" s="892" t="s">
        <v>1177</v>
      </c>
      <c r="B117" s="900" t="s">
        <v>322</v>
      </c>
      <c r="C117" s="900" t="s">
        <v>1031</v>
      </c>
      <c r="D117" s="153">
        <v>1204.46</v>
      </c>
      <c r="E117" s="153" t="s">
        <v>323</v>
      </c>
      <c r="F117" s="153" t="s">
        <v>985</v>
      </c>
      <c r="G117" s="153" t="s">
        <v>346</v>
      </c>
      <c r="H117" s="152" t="s">
        <v>985</v>
      </c>
      <c r="I117" s="152" t="s">
        <v>985</v>
      </c>
      <c r="J117" s="152" t="s">
        <v>1075</v>
      </c>
      <c r="K117" s="153">
        <v>120</v>
      </c>
      <c r="L117" s="153" t="s">
        <v>989</v>
      </c>
      <c r="M117" s="153" t="s">
        <v>990</v>
      </c>
      <c r="N117" s="153" t="s">
        <v>991</v>
      </c>
      <c r="O117" s="468">
        <v>3400</v>
      </c>
      <c r="P117" s="153" t="s">
        <v>1002</v>
      </c>
      <c r="Q117" s="525">
        <f t="shared" ref="Q117:Q118" si="47">IF(N117="Half-Life",O117,(0.6931/(O117)))</f>
        <v>3400</v>
      </c>
      <c r="R117" s="692">
        <f t="shared" ref="R117:R118" si="48">IF(N117="Rate Constant",O117,(0.6931/(O117)))</f>
        <v>2.0385294117647061E-4</v>
      </c>
      <c r="S117" s="153">
        <v>4</v>
      </c>
      <c r="T117" s="478" t="s">
        <v>1076</v>
      </c>
      <c r="U117" s="235">
        <f>VLOOKUP(T117,References!$B$7:$F$252,5,FALSE)</f>
        <v>13</v>
      </c>
    </row>
    <row r="118" spans="1:21" ht="32.25" customHeight="1" x14ac:dyDescent="0.2">
      <c r="A118" s="893"/>
      <c r="B118" s="897"/>
      <c r="C118" s="897"/>
      <c r="D118" s="153">
        <v>1204.46</v>
      </c>
      <c r="E118" s="153" t="s">
        <v>323</v>
      </c>
      <c r="F118" s="153" t="s">
        <v>985</v>
      </c>
      <c r="G118" s="153" t="s">
        <v>346</v>
      </c>
      <c r="H118" s="152" t="s">
        <v>985</v>
      </c>
      <c r="I118" s="152" t="s">
        <v>985</v>
      </c>
      <c r="J118" s="152" t="s">
        <v>1075</v>
      </c>
      <c r="K118" s="153">
        <v>120</v>
      </c>
      <c r="L118" s="153" t="s">
        <v>989</v>
      </c>
      <c r="M118" s="153" t="s">
        <v>990</v>
      </c>
      <c r="N118" s="153" t="s">
        <v>991</v>
      </c>
      <c r="O118" s="468">
        <v>380</v>
      </c>
      <c r="P118" s="153" t="s">
        <v>1002</v>
      </c>
      <c r="Q118" s="525">
        <f t="shared" si="47"/>
        <v>380</v>
      </c>
      <c r="R118" s="692">
        <f t="shared" si="48"/>
        <v>1.8239473684210528E-3</v>
      </c>
      <c r="S118" s="153">
        <v>25</v>
      </c>
      <c r="T118" s="478" t="s">
        <v>1076</v>
      </c>
      <c r="U118" s="235">
        <f>VLOOKUP(T118,References!$B$7:$F$252,5,FALSE)</f>
        <v>13</v>
      </c>
    </row>
    <row r="119" spans="1:21" ht="64" x14ac:dyDescent="0.2">
      <c r="A119" s="948"/>
      <c r="B119" s="901"/>
      <c r="C119" s="901"/>
      <c r="D119" s="153">
        <v>1204.46</v>
      </c>
      <c r="E119" s="153" t="s">
        <v>323</v>
      </c>
      <c r="F119" s="239" t="s">
        <v>985</v>
      </c>
      <c r="G119" s="153" t="s">
        <v>346</v>
      </c>
      <c r="H119" s="182" t="s">
        <v>1178</v>
      </c>
      <c r="I119" s="239" t="s">
        <v>189</v>
      </c>
      <c r="J119" s="182" t="s">
        <v>1179</v>
      </c>
      <c r="K119" s="239">
        <v>105</v>
      </c>
      <c r="L119" s="153" t="s">
        <v>989</v>
      </c>
      <c r="M119" s="239" t="s">
        <v>990</v>
      </c>
      <c r="N119" s="239" t="s">
        <v>1033</v>
      </c>
      <c r="O119" s="239">
        <v>7.9000000000000008E-3</v>
      </c>
      <c r="P119" s="239" t="s">
        <v>1034</v>
      </c>
      <c r="Q119" s="285">
        <f>IF(N119="Half-Life",O119,(0.6931/(O119)))</f>
        <v>87.734177215189874</v>
      </c>
      <c r="R119" s="762">
        <f>IF(N119="Rate Constant",O119,(0.6931/(O119)))</f>
        <v>7.9000000000000008E-3</v>
      </c>
      <c r="S119" s="239">
        <v>25</v>
      </c>
      <c r="T119" s="374" t="s">
        <v>1180</v>
      </c>
      <c r="U119" s="235">
        <f>VLOOKUP(T119,References!$B$7:$F$252,5,FALSE)</f>
        <v>149</v>
      </c>
    </row>
    <row r="120" spans="1:21" ht="65" thickBot="1" x14ac:dyDescent="0.25">
      <c r="A120" s="467" t="s">
        <v>1181</v>
      </c>
      <c r="B120" s="150" t="s">
        <v>1182</v>
      </c>
      <c r="C120" s="149" t="s">
        <v>1031</v>
      </c>
      <c r="D120" s="768">
        <v>1204</v>
      </c>
      <c r="E120" s="145" t="s">
        <v>985</v>
      </c>
      <c r="F120" s="145" t="s">
        <v>985</v>
      </c>
      <c r="G120" s="145" t="s">
        <v>322</v>
      </c>
      <c r="H120" s="182" t="s">
        <v>1183</v>
      </c>
      <c r="I120" s="145" t="s">
        <v>189</v>
      </c>
      <c r="J120" s="149" t="s">
        <v>1179</v>
      </c>
      <c r="K120" s="145">
        <v>105</v>
      </c>
      <c r="L120" s="153" t="s">
        <v>989</v>
      </c>
      <c r="M120" s="145" t="s">
        <v>990</v>
      </c>
      <c r="N120" s="145" t="s">
        <v>991</v>
      </c>
      <c r="O120" s="769">
        <v>281</v>
      </c>
      <c r="P120" s="239" t="s">
        <v>1002</v>
      </c>
      <c r="Q120" s="182">
        <f>IF(N120="Half-Life",O120,(0.6931/(O120)))</f>
        <v>281</v>
      </c>
      <c r="R120" s="762">
        <f>IF(N120="Rate Constant",O120,(0.6931/(O120)))</f>
        <v>2.4665480427046266E-3</v>
      </c>
      <c r="S120" s="145">
        <v>25</v>
      </c>
      <c r="T120" s="374" t="s">
        <v>1180</v>
      </c>
      <c r="U120" s="235">
        <f>VLOOKUP(T120,References!$B$7:$F$252,5,FALSE)</f>
        <v>149</v>
      </c>
    </row>
    <row r="121" spans="1:21" ht="17" thickBot="1" x14ac:dyDescent="0.25">
      <c r="A121" s="237" t="s">
        <v>1184</v>
      </c>
      <c r="B121" s="129" t="s">
        <v>1185</v>
      </c>
      <c r="C121" s="129"/>
      <c r="D121" s="82"/>
      <c r="E121" s="82"/>
      <c r="F121" s="82"/>
      <c r="G121" s="82"/>
      <c r="H121" s="82"/>
      <c r="I121" s="82"/>
      <c r="J121" s="79"/>
      <c r="K121" s="79"/>
      <c r="L121" s="79"/>
      <c r="M121" s="79"/>
      <c r="N121" s="79"/>
      <c r="O121" s="79"/>
      <c r="P121" s="79"/>
      <c r="Q121" s="594"/>
      <c r="R121" s="403"/>
      <c r="S121" s="79"/>
      <c r="T121" s="128"/>
      <c r="U121" s="80"/>
    </row>
    <row r="122" spans="1:21" ht="48" x14ac:dyDescent="0.2">
      <c r="A122" s="895" t="s">
        <v>1186</v>
      </c>
      <c r="B122" s="896" t="s">
        <v>1187</v>
      </c>
      <c r="C122" s="896" t="s">
        <v>1031</v>
      </c>
      <c r="D122" s="466">
        <v>514.20000000000005</v>
      </c>
      <c r="E122" s="466" t="s">
        <v>1188</v>
      </c>
      <c r="F122" s="239" t="s">
        <v>985</v>
      </c>
      <c r="G122" s="466" t="s">
        <v>1189</v>
      </c>
      <c r="H122" s="522" t="s">
        <v>1190</v>
      </c>
      <c r="I122" s="466" t="s">
        <v>78</v>
      </c>
      <c r="J122" s="466" t="s">
        <v>1191</v>
      </c>
      <c r="K122" s="466">
        <v>90</v>
      </c>
      <c r="L122" s="466" t="s">
        <v>989</v>
      </c>
      <c r="M122" s="466" t="s">
        <v>990</v>
      </c>
      <c r="N122" s="466" t="s">
        <v>991</v>
      </c>
      <c r="O122" s="466">
        <v>7</v>
      </c>
      <c r="P122" s="466" t="s">
        <v>1002</v>
      </c>
      <c r="Q122" s="522">
        <f t="shared" ref="Q122:Q123" si="49">IF(N122="Half-Life",O122,(0.6931/(O122)))</f>
        <v>7</v>
      </c>
      <c r="R122" s="755">
        <f t="shared" ref="R122:R123" si="50">IF(N122="Rate Constant",O122,(0.6931/(O122)))</f>
        <v>9.9014285714285721E-2</v>
      </c>
      <c r="S122" s="466" t="s">
        <v>33</v>
      </c>
      <c r="T122" s="756" t="s">
        <v>1192</v>
      </c>
      <c r="U122" s="234">
        <f>VLOOKUP(T122,References!$B$7:$F$252,5,FALSE)</f>
        <v>22</v>
      </c>
    </row>
    <row r="123" spans="1:21" ht="48" x14ac:dyDescent="0.2">
      <c r="A123" s="879"/>
      <c r="B123" s="851"/>
      <c r="C123" s="851"/>
      <c r="D123" s="239">
        <v>514.20000000000005</v>
      </c>
      <c r="E123" s="239" t="s">
        <v>1188</v>
      </c>
      <c r="F123" s="239" t="s">
        <v>985</v>
      </c>
      <c r="G123" s="239" t="s">
        <v>1189</v>
      </c>
      <c r="H123" s="182" t="s">
        <v>1190</v>
      </c>
      <c r="I123" s="239" t="s">
        <v>78</v>
      </c>
      <c r="J123" s="239" t="s">
        <v>1193</v>
      </c>
      <c r="K123" s="239">
        <v>90</v>
      </c>
      <c r="L123" s="239" t="s">
        <v>989</v>
      </c>
      <c r="M123" s="239" t="s">
        <v>990</v>
      </c>
      <c r="N123" s="239" t="s">
        <v>991</v>
      </c>
      <c r="O123" s="239">
        <v>3</v>
      </c>
      <c r="P123" s="239" t="s">
        <v>1002</v>
      </c>
      <c r="Q123" s="182">
        <f t="shared" si="49"/>
        <v>3</v>
      </c>
      <c r="R123" s="344">
        <f t="shared" si="50"/>
        <v>0.23103333333333334</v>
      </c>
      <c r="S123" s="239" t="s">
        <v>33</v>
      </c>
      <c r="T123" s="374" t="s">
        <v>1192</v>
      </c>
      <c r="U123" s="394">
        <f>VLOOKUP(T123,References!$B$7:$F$252,5,FALSE)</f>
        <v>22</v>
      </c>
    </row>
    <row r="124" spans="1:21" ht="80" x14ac:dyDescent="0.2">
      <c r="A124" s="867" t="s">
        <v>1194</v>
      </c>
      <c r="B124" s="850" t="s">
        <v>1195</v>
      </c>
      <c r="C124" s="850" t="s">
        <v>1031</v>
      </c>
      <c r="D124" s="153">
        <v>600.1</v>
      </c>
      <c r="E124" s="153" t="s">
        <v>1196</v>
      </c>
      <c r="F124" s="239" t="s">
        <v>985</v>
      </c>
      <c r="G124" s="153" t="s">
        <v>1197</v>
      </c>
      <c r="H124" s="152" t="s">
        <v>1198</v>
      </c>
      <c r="I124" s="153" t="s">
        <v>189</v>
      </c>
      <c r="J124" s="153" t="s">
        <v>1191</v>
      </c>
      <c r="K124" s="153">
        <v>91</v>
      </c>
      <c r="L124" s="153" t="s">
        <v>989</v>
      </c>
      <c r="M124" s="153" t="s">
        <v>990</v>
      </c>
      <c r="N124" s="153" t="s">
        <v>991</v>
      </c>
      <c r="O124" s="153">
        <v>15</v>
      </c>
      <c r="P124" s="153" t="s">
        <v>1002</v>
      </c>
      <c r="Q124" s="152">
        <f t="shared" ref="Q124:Q126" si="51">IF(N124="Half-Life",O124,(0.6931/(O124)))</f>
        <v>15</v>
      </c>
      <c r="R124" s="692">
        <f t="shared" ref="R124:R126" si="52">IF(N124="Rate Constant",O124,(0.6931/(O124)))</f>
        <v>4.6206666666666667E-2</v>
      </c>
      <c r="S124" s="153" t="s">
        <v>33</v>
      </c>
      <c r="T124" s="478" t="s">
        <v>1192</v>
      </c>
      <c r="U124" s="235">
        <f>VLOOKUP(T124,References!$B$7:$F$252,5,FALSE)</f>
        <v>22</v>
      </c>
    </row>
    <row r="125" spans="1:21" ht="80" x14ac:dyDescent="0.2">
      <c r="A125" s="879"/>
      <c r="B125" s="851"/>
      <c r="C125" s="851"/>
      <c r="D125" s="153">
        <v>600.1</v>
      </c>
      <c r="E125" s="153" t="s">
        <v>1196</v>
      </c>
      <c r="F125" s="239" t="s">
        <v>985</v>
      </c>
      <c r="G125" s="239" t="s">
        <v>1197</v>
      </c>
      <c r="H125" s="182" t="s">
        <v>1198</v>
      </c>
      <c r="I125" s="239" t="s">
        <v>189</v>
      </c>
      <c r="J125" s="239" t="s">
        <v>1193</v>
      </c>
      <c r="K125" s="239">
        <v>92</v>
      </c>
      <c r="L125" s="239" t="s">
        <v>989</v>
      </c>
      <c r="M125" s="239" t="s">
        <v>990</v>
      </c>
      <c r="N125" s="239" t="s">
        <v>991</v>
      </c>
      <c r="O125" s="239">
        <v>15</v>
      </c>
      <c r="P125" s="239" t="s">
        <v>1002</v>
      </c>
      <c r="Q125" s="182">
        <f t="shared" si="51"/>
        <v>15</v>
      </c>
      <c r="R125" s="344">
        <f t="shared" si="52"/>
        <v>4.6206666666666667E-2</v>
      </c>
      <c r="S125" s="239" t="s">
        <v>33</v>
      </c>
      <c r="T125" s="374" t="s">
        <v>1192</v>
      </c>
      <c r="U125" s="394">
        <f>VLOOKUP(T125,References!$B$7:$F$252,5,FALSE)</f>
        <v>22</v>
      </c>
    </row>
    <row r="126" spans="1:21" ht="65" thickBot="1" x14ac:dyDescent="0.25">
      <c r="A126" s="187" t="s">
        <v>1199</v>
      </c>
      <c r="B126" s="188" t="s">
        <v>1200</v>
      </c>
      <c r="C126" s="188" t="s">
        <v>1201</v>
      </c>
      <c r="D126" s="770">
        <v>513.29999999999995</v>
      </c>
      <c r="E126" s="146" t="s">
        <v>985</v>
      </c>
      <c r="F126" s="145" t="s">
        <v>985</v>
      </c>
      <c r="G126" s="188" t="s">
        <v>1202</v>
      </c>
      <c r="H126" s="716" t="s">
        <v>1203</v>
      </c>
      <c r="I126" s="716" t="s">
        <v>1204</v>
      </c>
      <c r="J126" s="146" t="s">
        <v>1070</v>
      </c>
      <c r="K126" s="146">
        <v>100</v>
      </c>
      <c r="L126" s="146" t="s">
        <v>989</v>
      </c>
      <c r="M126" s="146" t="s">
        <v>990</v>
      </c>
      <c r="N126" s="146" t="s">
        <v>991</v>
      </c>
      <c r="O126" s="146">
        <v>1.2</v>
      </c>
      <c r="P126" s="146" t="s">
        <v>1002</v>
      </c>
      <c r="Q126" s="188">
        <f t="shared" si="51"/>
        <v>1.2</v>
      </c>
      <c r="R126" s="771">
        <f t="shared" si="52"/>
        <v>0.57758333333333345</v>
      </c>
      <c r="S126" s="146">
        <v>25</v>
      </c>
      <c r="T126" s="480" t="s">
        <v>1023</v>
      </c>
      <c r="U126" s="481">
        <f>VLOOKUP(T126,References!$B$7:$F$252,5,FALSE)</f>
        <v>38</v>
      </c>
    </row>
    <row r="127" spans="1:21" ht="17" thickBot="1" x14ac:dyDescent="0.25">
      <c r="A127" s="237" t="s">
        <v>475</v>
      </c>
      <c r="B127" s="158" t="s">
        <v>1205</v>
      </c>
      <c r="C127" s="158"/>
      <c r="D127" s="165"/>
      <c r="E127" s="165"/>
      <c r="F127" s="165"/>
      <c r="G127" s="165"/>
      <c r="H127" s="165"/>
      <c r="I127" s="165"/>
      <c r="J127" s="75"/>
      <c r="K127" s="75"/>
      <c r="L127" s="75"/>
      <c r="M127" s="106"/>
      <c r="N127" s="75"/>
      <c r="O127" s="106"/>
      <c r="P127" s="106"/>
      <c r="Q127" s="594"/>
      <c r="R127" s="404"/>
      <c r="S127" s="75"/>
      <c r="T127" s="75"/>
      <c r="U127" s="76"/>
    </row>
    <row r="128" spans="1:21" ht="17" thickBot="1" x14ac:dyDescent="0.25">
      <c r="A128" s="186" t="s">
        <v>476</v>
      </c>
      <c r="B128" s="149" t="s">
        <v>477</v>
      </c>
      <c r="C128" s="149" t="s">
        <v>984</v>
      </c>
      <c r="D128" s="133">
        <v>378.1</v>
      </c>
      <c r="E128" s="145" t="s">
        <v>479</v>
      </c>
      <c r="F128" s="145"/>
      <c r="G128" s="145"/>
      <c r="H128" s="145"/>
      <c r="I128" s="145"/>
      <c r="J128" s="178"/>
      <c r="K128" s="178"/>
      <c r="L128" s="178"/>
      <c r="M128" s="58"/>
      <c r="N128" s="178"/>
      <c r="O128" s="58"/>
      <c r="P128" s="58"/>
      <c r="Q128" s="433"/>
      <c r="R128" s="354"/>
      <c r="S128" s="58"/>
      <c r="T128" s="58"/>
      <c r="U128" s="100"/>
    </row>
    <row r="129" spans="1:21" ht="17" thickBot="1" x14ac:dyDescent="0.25">
      <c r="A129" s="237" t="s">
        <v>415</v>
      </c>
      <c r="B129" s="129" t="s">
        <v>1206</v>
      </c>
      <c r="C129" s="129"/>
      <c r="D129" s="82"/>
      <c r="E129" s="82"/>
      <c r="F129" s="82"/>
      <c r="G129" s="82"/>
      <c r="H129" s="82"/>
      <c r="I129" s="82"/>
      <c r="J129" s="79"/>
      <c r="K129" s="79"/>
      <c r="L129" s="79"/>
      <c r="M129" s="79"/>
      <c r="N129" s="79"/>
      <c r="O129" s="79"/>
      <c r="P129" s="79"/>
      <c r="Q129" s="594"/>
      <c r="R129" s="403"/>
      <c r="S129" s="79"/>
      <c r="T129" s="128"/>
      <c r="U129" s="80"/>
    </row>
    <row r="130" spans="1:21" ht="18" x14ac:dyDescent="0.2">
      <c r="A130" s="246" t="s">
        <v>423</v>
      </c>
      <c r="B130" s="182" t="s">
        <v>1207</v>
      </c>
      <c r="C130" s="239" t="s">
        <v>984</v>
      </c>
      <c r="D130" s="239">
        <v>330.19</v>
      </c>
      <c r="E130" s="239" t="s">
        <v>426</v>
      </c>
      <c r="F130" s="239"/>
      <c r="G130" s="239"/>
      <c r="H130" s="239"/>
      <c r="I130" s="239"/>
      <c r="J130" s="59"/>
      <c r="K130" s="59"/>
      <c r="L130" s="59"/>
      <c r="M130" s="59"/>
      <c r="N130" s="59"/>
      <c r="O130" s="325"/>
      <c r="P130" s="59"/>
      <c r="Q130" s="469"/>
      <c r="R130" s="327"/>
      <c r="S130" s="59"/>
      <c r="T130" s="37"/>
      <c r="U130" s="122"/>
    </row>
    <row r="131" spans="1:21" ht="17" x14ac:dyDescent="0.2">
      <c r="A131" s="605" t="s">
        <v>432</v>
      </c>
      <c r="B131" s="239" t="s">
        <v>1620</v>
      </c>
      <c r="C131" s="69" t="s">
        <v>984</v>
      </c>
      <c r="D131" s="239">
        <v>347.1</v>
      </c>
      <c r="E131" s="239" t="s">
        <v>435</v>
      </c>
      <c r="F131" s="239"/>
      <c r="G131" s="239"/>
      <c r="H131" s="239"/>
      <c r="I131" s="239"/>
      <c r="J131" s="239"/>
      <c r="K131" s="239"/>
      <c r="L131" s="239"/>
      <c r="M131" s="59"/>
      <c r="N131" s="239"/>
      <c r="O131" s="59"/>
      <c r="P131" s="59"/>
      <c r="Q131" s="469"/>
      <c r="R131" s="327"/>
      <c r="S131" s="59"/>
      <c r="T131" s="37"/>
      <c r="U131" s="122"/>
    </row>
    <row r="132" spans="1:21" x14ac:dyDescent="0.2">
      <c r="A132" s="143" t="s">
        <v>437</v>
      </c>
      <c r="B132" s="131" t="s">
        <v>438</v>
      </c>
      <c r="C132" s="131" t="s">
        <v>984</v>
      </c>
      <c r="D132" s="141">
        <v>230</v>
      </c>
      <c r="E132" s="131" t="s">
        <v>440</v>
      </c>
      <c r="F132" s="131"/>
      <c r="G132" s="131"/>
      <c r="H132" s="131"/>
      <c r="I132" s="131"/>
      <c r="J132" s="141"/>
      <c r="K132" s="141"/>
      <c r="L132" s="141"/>
      <c r="M132" s="131"/>
      <c r="N132" s="141"/>
      <c r="O132" s="131"/>
      <c r="P132" s="131"/>
      <c r="Q132" s="469"/>
      <c r="R132" s="328"/>
      <c r="S132" s="131"/>
      <c r="T132" s="42"/>
      <c r="U132" s="122"/>
    </row>
    <row r="133" spans="1:21" x14ac:dyDescent="0.2">
      <c r="A133" s="136" t="s">
        <v>444</v>
      </c>
      <c r="B133" s="58" t="s">
        <v>445</v>
      </c>
      <c r="C133" s="58" t="s">
        <v>984</v>
      </c>
      <c r="D133" s="133">
        <v>280</v>
      </c>
      <c r="E133" s="58" t="s">
        <v>447</v>
      </c>
      <c r="F133" s="58"/>
      <c r="G133" s="58"/>
      <c r="H133" s="58"/>
      <c r="I133" s="58"/>
      <c r="J133" s="294"/>
      <c r="K133" s="294"/>
      <c r="L133" s="294"/>
      <c r="M133" s="59"/>
      <c r="N133" s="294"/>
      <c r="O133" s="59"/>
      <c r="P133" s="59"/>
      <c r="Q133" s="469"/>
      <c r="R133" s="327"/>
      <c r="S133" s="59"/>
      <c r="T133" s="37"/>
      <c r="U133" s="122"/>
    </row>
    <row r="134" spans="1:21" x14ac:dyDescent="0.2">
      <c r="A134" s="242" t="s">
        <v>451</v>
      </c>
      <c r="B134" s="57" t="s">
        <v>452</v>
      </c>
      <c r="C134" s="57" t="s">
        <v>984</v>
      </c>
      <c r="D134" s="167">
        <v>296</v>
      </c>
      <c r="E134" s="57" t="s">
        <v>454</v>
      </c>
      <c r="F134" s="57"/>
      <c r="G134" s="57"/>
      <c r="H134" s="57"/>
      <c r="I134" s="57"/>
      <c r="J134" s="167"/>
      <c r="K134" s="167"/>
      <c r="L134" s="167"/>
      <c r="M134" s="57"/>
      <c r="N134" s="167"/>
      <c r="O134" s="57"/>
      <c r="P134" s="57"/>
      <c r="Q134" s="433"/>
      <c r="R134" s="693"/>
      <c r="S134" s="57"/>
      <c r="T134" s="41"/>
      <c r="U134" s="122"/>
    </row>
    <row r="135" spans="1:21" s="2" customFormat="1" thickBot="1" x14ac:dyDescent="0.25">
      <c r="A135" s="130" t="s">
        <v>458</v>
      </c>
      <c r="B135" s="129" t="s">
        <v>1208</v>
      </c>
      <c r="C135" s="129"/>
      <c r="D135" s="165"/>
      <c r="E135" s="165"/>
      <c r="F135" s="165"/>
      <c r="G135" s="165"/>
      <c r="H135" s="165"/>
      <c r="I135" s="165"/>
      <c r="J135" s="75"/>
      <c r="K135" s="75"/>
      <c r="L135" s="75"/>
      <c r="M135" s="106"/>
      <c r="N135" s="75"/>
      <c r="O135" s="106"/>
      <c r="P135" s="106"/>
      <c r="Q135" s="594"/>
      <c r="R135" s="404"/>
      <c r="S135" s="75"/>
      <c r="T135" s="75"/>
      <c r="U135" s="76"/>
    </row>
    <row r="136" spans="1:21" ht="33" thickBot="1" x14ac:dyDescent="0.25">
      <c r="A136" s="186" t="s">
        <v>460</v>
      </c>
      <c r="B136" s="348" t="s">
        <v>461</v>
      </c>
      <c r="C136" s="348" t="s">
        <v>984</v>
      </c>
      <c r="D136" s="145">
        <v>632.6</v>
      </c>
      <c r="E136" s="145" t="s">
        <v>463</v>
      </c>
      <c r="F136" s="145"/>
      <c r="G136" s="145"/>
      <c r="H136" s="145"/>
      <c r="I136" s="145"/>
      <c r="J136" s="59"/>
      <c r="K136" s="59"/>
      <c r="L136" s="59"/>
      <c r="M136" s="59"/>
      <c r="N136" s="59"/>
      <c r="O136" s="59"/>
      <c r="P136" s="59"/>
      <c r="Q136" s="469"/>
      <c r="R136" s="327"/>
      <c r="S136" s="59"/>
      <c r="T136" s="59"/>
      <c r="U136" s="122"/>
    </row>
    <row r="137" spans="1:21" ht="33" thickBot="1" x14ac:dyDescent="0.25">
      <c r="A137" s="157" t="s">
        <v>464</v>
      </c>
      <c r="B137" s="163" t="s">
        <v>465</v>
      </c>
      <c r="C137" s="163" t="s">
        <v>984</v>
      </c>
      <c r="D137" s="153">
        <v>532.6</v>
      </c>
      <c r="E137" s="153" t="s">
        <v>467</v>
      </c>
      <c r="F137" s="153"/>
      <c r="G137" s="153"/>
      <c r="H137" s="153"/>
      <c r="I137" s="153"/>
      <c r="J137" s="131"/>
      <c r="K137" s="131"/>
      <c r="L137" s="131"/>
      <c r="M137" s="131"/>
      <c r="N137" s="131"/>
      <c r="O137" s="131"/>
      <c r="P137" s="131"/>
      <c r="Q137" s="469"/>
      <c r="R137" s="328"/>
      <c r="S137" s="131"/>
      <c r="T137" s="131"/>
      <c r="U137" s="122"/>
    </row>
    <row r="138" spans="1:21" ht="17" thickBot="1" x14ac:dyDescent="0.25">
      <c r="A138" s="166" t="s">
        <v>468</v>
      </c>
      <c r="B138" s="58" t="s">
        <v>469</v>
      </c>
      <c r="C138" s="58" t="s">
        <v>984</v>
      </c>
      <c r="D138" s="145">
        <v>316.10000000000002</v>
      </c>
      <c r="E138" s="58" t="s">
        <v>471</v>
      </c>
      <c r="F138" s="58"/>
      <c r="G138" s="58"/>
      <c r="H138" s="58"/>
      <c r="I138" s="58"/>
      <c r="J138" s="145"/>
      <c r="K138" s="145"/>
      <c r="L138" s="145"/>
      <c r="M138" s="58"/>
      <c r="N138" s="145"/>
      <c r="O138" s="58"/>
      <c r="P138" s="58"/>
      <c r="Q138" s="433"/>
      <c r="R138" s="354"/>
      <c r="S138" s="58"/>
      <c r="T138" s="58"/>
      <c r="U138" s="122"/>
    </row>
    <row r="139" spans="1:21" ht="17" thickBot="1" x14ac:dyDescent="0.25">
      <c r="A139" s="237" t="s">
        <v>1209</v>
      </c>
      <c r="B139" s="158"/>
      <c r="C139" s="158"/>
      <c r="D139" s="165"/>
      <c r="E139" s="165"/>
      <c r="F139" s="165"/>
      <c r="G139" s="165"/>
      <c r="H139" s="165"/>
      <c r="I139" s="165"/>
      <c r="J139" s="75"/>
      <c r="K139" s="75"/>
      <c r="L139" s="75"/>
      <c r="M139" s="106"/>
      <c r="N139" s="75"/>
      <c r="O139" s="106"/>
      <c r="P139" s="106"/>
      <c r="Q139" s="594"/>
      <c r="R139" s="404"/>
      <c r="S139" s="75"/>
      <c r="T139" s="75"/>
      <c r="U139" s="76"/>
    </row>
    <row r="140" spans="1:21" s="465" customFormat="1" ht="80" x14ac:dyDescent="0.2">
      <c r="A140" s="939" t="s">
        <v>1210</v>
      </c>
      <c r="B140" s="896" t="s">
        <v>1211</v>
      </c>
      <c r="C140" s="896" t="s">
        <v>1201</v>
      </c>
      <c r="D140" s="753">
        <v>642.29999999999995</v>
      </c>
      <c r="E140" s="466" t="s">
        <v>1212</v>
      </c>
      <c r="F140" s="239" t="s">
        <v>985</v>
      </c>
      <c r="G140" s="466" t="s">
        <v>1197</v>
      </c>
      <c r="H140" s="522" t="s">
        <v>1213</v>
      </c>
      <c r="I140" s="522" t="s">
        <v>1214</v>
      </c>
      <c r="J140" s="711" t="s">
        <v>668</v>
      </c>
      <c r="K140" s="714">
        <v>150</v>
      </c>
      <c r="L140" s="711" t="s">
        <v>989</v>
      </c>
      <c r="M140" s="466" t="s">
        <v>990</v>
      </c>
      <c r="N140" s="711" t="s">
        <v>991</v>
      </c>
      <c r="O140" s="466">
        <v>675</v>
      </c>
      <c r="P140" s="466" t="s">
        <v>1002</v>
      </c>
      <c r="Q140" s="522">
        <f t="shared" ref="Q140" si="53">IF(N140="Half-Life",O140,(0.6931/(O140)))</f>
        <v>675</v>
      </c>
      <c r="R140" s="755">
        <f t="shared" ref="R140" si="54">IF(N140="Rate Constant",O140,(0.6931/(O140)))</f>
        <v>1.0268148148148148E-3</v>
      </c>
      <c r="S140" s="466">
        <v>22</v>
      </c>
      <c r="T140" s="756" t="s">
        <v>1096</v>
      </c>
      <c r="U140" s="234">
        <f>VLOOKUP(T140,References!$B$7:$F$252,5,FALSE)</f>
        <v>82</v>
      </c>
    </row>
    <row r="141" spans="1:21" s="465" customFormat="1" x14ac:dyDescent="0.2">
      <c r="A141" s="937"/>
      <c r="B141" s="851"/>
      <c r="C141" s="851"/>
      <c r="D141" s="757">
        <v>642.29999999999995</v>
      </c>
      <c r="E141" s="153" t="s">
        <v>1212</v>
      </c>
      <c r="F141" s="152" t="s">
        <v>985</v>
      </c>
      <c r="G141" s="153" t="s">
        <v>189</v>
      </c>
      <c r="H141" s="152" t="s">
        <v>985</v>
      </c>
      <c r="I141" s="153" t="s">
        <v>1215</v>
      </c>
      <c r="J141" s="141" t="s">
        <v>668</v>
      </c>
      <c r="K141" s="163">
        <v>150</v>
      </c>
      <c r="L141" s="141" t="s">
        <v>989</v>
      </c>
      <c r="M141" s="153" t="s">
        <v>990</v>
      </c>
      <c r="N141" s="141" t="s">
        <v>991</v>
      </c>
      <c r="O141" s="153">
        <v>15.7</v>
      </c>
      <c r="P141" s="153" t="s">
        <v>1002</v>
      </c>
      <c r="Q141" s="152">
        <f t="shared" ref="Q141" si="55">IF(N141="Half-Life",O141,(0.6931/(O141)))</f>
        <v>15.7</v>
      </c>
      <c r="R141" s="692">
        <f t="shared" ref="R141" si="56">IF(N141="Rate Constant",O141,(0.6931/(O141)))</f>
        <v>4.414649681528663E-2</v>
      </c>
      <c r="S141" s="153">
        <v>22</v>
      </c>
      <c r="T141" s="478" t="s">
        <v>1096</v>
      </c>
      <c r="U141" s="235">
        <f>VLOOKUP(T141,References!$B$7:$F$252,5,FALSE)</f>
        <v>82</v>
      </c>
    </row>
    <row r="142" spans="1:21" s="465" customFormat="1" ht="32" x14ac:dyDescent="0.2">
      <c r="A142" s="936" t="s">
        <v>1216</v>
      </c>
      <c r="B142" s="869" t="s">
        <v>1217</v>
      </c>
      <c r="C142" s="850" t="s">
        <v>1201</v>
      </c>
      <c r="D142" s="294">
        <v>556.27</v>
      </c>
      <c r="E142" s="182" t="s">
        <v>1218</v>
      </c>
      <c r="F142" s="152" t="s">
        <v>985</v>
      </c>
      <c r="G142" s="239" t="s">
        <v>1189</v>
      </c>
      <c r="H142" s="152" t="s">
        <v>985</v>
      </c>
      <c r="I142" s="182" t="s">
        <v>1219</v>
      </c>
      <c r="J142" s="294" t="s">
        <v>668</v>
      </c>
      <c r="K142" s="588">
        <v>150</v>
      </c>
      <c r="L142" s="294" t="s">
        <v>989</v>
      </c>
      <c r="M142" s="239" t="s">
        <v>990</v>
      </c>
      <c r="N142" s="294" t="s">
        <v>991</v>
      </c>
      <c r="O142" s="772">
        <v>266</v>
      </c>
      <c r="P142" s="239" t="s">
        <v>1002</v>
      </c>
      <c r="Q142" s="357">
        <f t="shared" ref="Q142" si="57">IF(N142="Half-Life",O142,(0.6931/(O142)))</f>
        <v>266</v>
      </c>
      <c r="R142" s="344">
        <f t="shared" ref="R142" si="58">IF(N142="Rate Constant",O142,(0.6931/(O142)))</f>
        <v>2.6056390977443611E-3</v>
      </c>
      <c r="S142" s="239">
        <v>22</v>
      </c>
      <c r="T142" s="374" t="s">
        <v>1096</v>
      </c>
      <c r="U142" s="394">
        <f>VLOOKUP(T142,References!$B$7:$F$252,5,FALSE)</f>
        <v>82</v>
      </c>
    </row>
    <row r="143" spans="1:21" s="465" customFormat="1" x14ac:dyDescent="0.2">
      <c r="A143" s="937"/>
      <c r="B143" s="851"/>
      <c r="C143" s="851"/>
      <c r="D143" s="294">
        <v>556.27</v>
      </c>
      <c r="E143" s="182" t="s">
        <v>1218</v>
      </c>
      <c r="F143" s="152" t="s">
        <v>985</v>
      </c>
      <c r="G143" s="239" t="s">
        <v>78</v>
      </c>
      <c r="H143" s="152" t="s">
        <v>985</v>
      </c>
      <c r="I143" s="239" t="s">
        <v>1220</v>
      </c>
      <c r="J143" s="294" t="s">
        <v>668</v>
      </c>
      <c r="K143" s="588">
        <v>150</v>
      </c>
      <c r="L143" s="294" t="s">
        <v>989</v>
      </c>
      <c r="M143" s="239" t="s">
        <v>990</v>
      </c>
      <c r="N143" s="294" t="s">
        <v>991</v>
      </c>
      <c r="O143" s="772">
        <v>1000</v>
      </c>
      <c r="P143" s="239" t="s">
        <v>1002</v>
      </c>
      <c r="Q143" s="357">
        <f t="shared" ref="Q143" si="59">IF(N143="Half-Life",O143,(0.6931/(O143)))</f>
        <v>1000</v>
      </c>
      <c r="R143" s="344">
        <f t="shared" ref="R143" si="60">IF(N143="Rate Constant",O143,(0.6931/(O143)))</f>
        <v>6.931000000000001E-4</v>
      </c>
      <c r="S143" s="239">
        <v>22</v>
      </c>
      <c r="T143" s="374" t="s">
        <v>1096</v>
      </c>
      <c r="U143" s="394">
        <f>VLOOKUP(T143,References!$B$7:$F$252,5,FALSE)</f>
        <v>82</v>
      </c>
    </row>
    <row r="144" spans="1:21" s="465" customFormat="1" ht="32" x14ac:dyDescent="0.2">
      <c r="A144" s="936" t="s">
        <v>1221</v>
      </c>
      <c r="B144" s="869" t="s">
        <v>1197</v>
      </c>
      <c r="C144" s="850" t="s">
        <v>1031</v>
      </c>
      <c r="D144" s="294">
        <v>584.29</v>
      </c>
      <c r="E144" s="239" t="s">
        <v>1222</v>
      </c>
      <c r="F144" s="152" t="s">
        <v>985</v>
      </c>
      <c r="G144" s="182" t="s">
        <v>1223</v>
      </c>
      <c r="H144" s="182" t="s">
        <v>1224</v>
      </c>
      <c r="I144" s="182" t="s">
        <v>1225</v>
      </c>
      <c r="J144" s="294" t="s">
        <v>668</v>
      </c>
      <c r="K144" s="588">
        <v>90</v>
      </c>
      <c r="L144" s="294" t="s">
        <v>989</v>
      </c>
      <c r="M144" s="239" t="s">
        <v>990</v>
      </c>
      <c r="N144" s="294" t="s">
        <v>991</v>
      </c>
      <c r="O144" s="239">
        <v>47.5</v>
      </c>
      <c r="P144" s="239" t="s">
        <v>1002</v>
      </c>
      <c r="Q144" s="182">
        <f t="shared" ref="Q144" si="61">IF(N144="Half-Life",O144,(0.6931/(O144)))</f>
        <v>47.5</v>
      </c>
      <c r="R144" s="344">
        <f t="shared" ref="R144" si="62">IF(N144="Rate Constant",O144,(0.6931/(O144)))</f>
        <v>1.4591578947368422E-2</v>
      </c>
      <c r="S144" s="239">
        <v>22</v>
      </c>
      <c r="T144" s="374" t="s">
        <v>1096</v>
      </c>
      <c r="U144" s="394">
        <f>VLOOKUP(T144,References!$B$7:$F$252,5,FALSE)</f>
        <v>82</v>
      </c>
    </row>
    <row r="145" spans="1:21" s="465" customFormat="1" x14ac:dyDescent="0.2">
      <c r="A145" s="936"/>
      <c r="B145" s="869"/>
      <c r="C145" s="869"/>
      <c r="D145" s="141">
        <v>584.29</v>
      </c>
      <c r="E145" s="153" t="s">
        <v>1222</v>
      </c>
      <c r="F145" s="152" t="s">
        <v>985</v>
      </c>
      <c r="G145" s="153" t="s">
        <v>356</v>
      </c>
      <c r="H145" s="153" t="s">
        <v>1054</v>
      </c>
      <c r="I145" s="153" t="s">
        <v>1215</v>
      </c>
      <c r="J145" s="141" t="s">
        <v>668</v>
      </c>
      <c r="K145" s="163">
        <v>90</v>
      </c>
      <c r="L145" s="141" t="s">
        <v>989</v>
      </c>
      <c r="M145" s="153" t="s">
        <v>990</v>
      </c>
      <c r="N145" s="141" t="s">
        <v>991</v>
      </c>
      <c r="O145" s="153">
        <v>139</v>
      </c>
      <c r="P145" s="153" t="s">
        <v>1002</v>
      </c>
      <c r="Q145" s="152">
        <f t="shared" ref="Q145:Q147" si="63">IF(N145="Half-Life",O145,(0.6931/(O145)))</f>
        <v>139</v>
      </c>
      <c r="R145" s="692">
        <f t="shared" ref="R145:R147" si="64">IF(N145="Rate Constant",O145,(0.6931/(O145)))</f>
        <v>4.9863309352517985E-3</v>
      </c>
      <c r="S145" s="153">
        <v>22</v>
      </c>
      <c r="T145" s="478" t="s">
        <v>1096</v>
      </c>
      <c r="U145" s="235">
        <f>VLOOKUP(T145,References!$B$7:$F$252,5,FALSE)</f>
        <v>82</v>
      </c>
    </row>
    <row r="146" spans="1:21" s="465" customFormat="1" x14ac:dyDescent="0.2">
      <c r="A146" s="936"/>
      <c r="B146" s="869"/>
      <c r="C146" s="869"/>
      <c r="D146" s="141">
        <v>584.29</v>
      </c>
      <c r="E146" s="153" t="s">
        <v>1222</v>
      </c>
      <c r="F146" s="152" t="s">
        <v>985</v>
      </c>
      <c r="G146" s="153" t="s">
        <v>1054</v>
      </c>
      <c r="H146" s="152" t="s">
        <v>985</v>
      </c>
      <c r="I146" s="153" t="s">
        <v>1215</v>
      </c>
      <c r="J146" s="141" t="s">
        <v>668</v>
      </c>
      <c r="K146" s="163">
        <v>90</v>
      </c>
      <c r="L146" s="141" t="s">
        <v>989</v>
      </c>
      <c r="M146" s="153" t="s">
        <v>990</v>
      </c>
      <c r="N146" s="141" t="s">
        <v>991</v>
      </c>
      <c r="O146" s="763">
        <v>1000</v>
      </c>
      <c r="P146" s="153" t="s">
        <v>1002</v>
      </c>
      <c r="Q146" s="152">
        <f t="shared" si="63"/>
        <v>1000</v>
      </c>
      <c r="R146" s="692">
        <f t="shared" si="64"/>
        <v>6.931000000000001E-4</v>
      </c>
      <c r="S146" s="153">
        <v>22</v>
      </c>
      <c r="T146" s="478" t="s">
        <v>1096</v>
      </c>
      <c r="U146" s="235">
        <f>VLOOKUP(T146,References!$B$7:$F$252,5,FALSE)</f>
        <v>82</v>
      </c>
    </row>
    <row r="147" spans="1:21" s="465" customFormat="1" x14ac:dyDescent="0.2">
      <c r="A147" s="937"/>
      <c r="B147" s="851"/>
      <c r="C147" s="851"/>
      <c r="D147" s="294">
        <v>584.29</v>
      </c>
      <c r="E147" s="239" t="s">
        <v>1222</v>
      </c>
      <c r="F147" s="152" t="s">
        <v>985</v>
      </c>
      <c r="G147" s="239" t="s">
        <v>189</v>
      </c>
      <c r="H147" s="152" t="s">
        <v>985</v>
      </c>
      <c r="I147" s="239" t="s">
        <v>1215</v>
      </c>
      <c r="J147" s="294" t="s">
        <v>668</v>
      </c>
      <c r="K147" s="588">
        <v>90</v>
      </c>
      <c r="L147" s="294" t="s">
        <v>989</v>
      </c>
      <c r="M147" s="239" t="s">
        <v>990</v>
      </c>
      <c r="N147" s="294" t="s">
        <v>991</v>
      </c>
      <c r="O147" s="760">
        <v>1000</v>
      </c>
      <c r="P147" s="239" t="s">
        <v>1002</v>
      </c>
      <c r="Q147" s="182">
        <f t="shared" si="63"/>
        <v>1000</v>
      </c>
      <c r="R147" s="344">
        <f t="shared" si="64"/>
        <v>6.931000000000001E-4</v>
      </c>
      <c r="S147" s="239">
        <v>22</v>
      </c>
      <c r="T147" s="374" t="s">
        <v>1096</v>
      </c>
      <c r="U147" s="394">
        <f>VLOOKUP(T147,References!$B$7:$F$252,5,FALSE)</f>
        <v>82</v>
      </c>
    </row>
    <row r="148" spans="1:21" s="465" customFormat="1" x14ac:dyDescent="0.2">
      <c r="A148" s="246" t="s">
        <v>1226</v>
      </c>
      <c r="B148" s="182" t="s">
        <v>1189</v>
      </c>
      <c r="C148" s="182" t="s">
        <v>1031</v>
      </c>
      <c r="D148" s="285">
        <v>498.23</v>
      </c>
      <c r="E148" s="294" t="s">
        <v>1227</v>
      </c>
      <c r="F148" s="152" t="s">
        <v>985</v>
      </c>
      <c r="G148" s="239" t="s">
        <v>78</v>
      </c>
      <c r="H148" s="152" t="s">
        <v>985</v>
      </c>
      <c r="I148" s="239" t="s">
        <v>78</v>
      </c>
      <c r="J148" s="294" t="s">
        <v>668</v>
      </c>
      <c r="K148" s="588">
        <v>180</v>
      </c>
      <c r="L148" s="294" t="s">
        <v>989</v>
      </c>
      <c r="M148" s="239" t="s">
        <v>990</v>
      </c>
      <c r="N148" s="294" t="s">
        <v>991</v>
      </c>
      <c r="O148" s="239">
        <v>14</v>
      </c>
      <c r="P148" s="239" t="s">
        <v>1002</v>
      </c>
      <c r="Q148" s="182">
        <f t="shared" ref="Q148" si="65">IF(N148="Half-Life",O148,(0.6931/(O148)))</f>
        <v>14</v>
      </c>
      <c r="R148" s="344">
        <f t="shared" ref="R148" si="66">IF(N148="Rate Constant",O148,(0.6931/(O148)))</f>
        <v>4.9507142857142861E-2</v>
      </c>
      <c r="S148" s="239">
        <v>22</v>
      </c>
      <c r="T148" s="374" t="s">
        <v>1096</v>
      </c>
      <c r="U148" s="394">
        <f>VLOOKUP(T148,References!$B$7:$F$252,5,FALSE)</f>
        <v>82</v>
      </c>
    </row>
    <row r="149" spans="1:21" s="470" customFormat="1" x14ac:dyDescent="0.2">
      <c r="A149" s="246" t="s">
        <v>1228</v>
      </c>
      <c r="B149" s="182" t="s">
        <v>1032</v>
      </c>
      <c r="C149" s="182" t="s">
        <v>984</v>
      </c>
      <c r="D149" s="294">
        <v>484.13</v>
      </c>
      <c r="E149" s="239" t="s">
        <v>1229</v>
      </c>
      <c r="F149" s="239" t="s">
        <v>985</v>
      </c>
      <c r="G149" s="239" t="s">
        <v>189</v>
      </c>
      <c r="H149" s="239" t="s">
        <v>985</v>
      </c>
      <c r="I149" s="239" t="s">
        <v>189</v>
      </c>
      <c r="J149" s="183" t="s">
        <v>1022</v>
      </c>
      <c r="K149" s="588">
        <v>10</v>
      </c>
      <c r="L149" s="183" t="s">
        <v>989</v>
      </c>
      <c r="M149" s="59" t="s">
        <v>990</v>
      </c>
      <c r="N149" s="183" t="s">
        <v>1033</v>
      </c>
      <c r="O149" s="59">
        <v>0.95</v>
      </c>
      <c r="P149" s="59" t="s">
        <v>1034</v>
      </c>
      <c r="Q149" s="469">
        <f t="shared" ref="Q149" si="67">IF(N149="Half-Life",O149,(0.6931/(O149)))</f>
        <v>0.7295789473684211</v>
      </c>
      <c r="R149" s="327">
        <f t="shared" ref="R149" si="68">IF(N149="Rate Constant",O149,(0.6931/(O149)))</f>
        <v>0.95</v>
      </c>
      <c r="S149" s="59">
        <v>30</v>
      </c>
      <c r="T149" s="37" t="s">
        <v>1035</v>
      </c>
      <c r="U149" s="122">
        <f>VLOOKUP(T149,References!$B$7:$F$252,5,FALSE)</f>
        <v>104</v>
      </c>
    </row>
    <row r="150" spans="1:21" x14ac:dyDescent="0.2">
      <c r="A150" s="237" t="s">
        <v>1230</v>
      </c>
      <c r="B150" s="158"/>
      <c r="C150" s="158"/>
      <c r="D150" s="165"/>
      <c r="E150" s="165"/>
      <c r="F150" s="165"/>
      <c r="G150" s="165"/>
      <c r="H150" s="165"/>
      <c r="I150" s="165"/>
      <c r="J150" s="75"/>
      <c r="K150" s="75"/>
      <c r="L150" s="75"/>
      <c r="M150" s="106"/>
      <c r="N150" s="75"/>
      <c r="O150" s="106"/>
      <c r="P150" s="106"/>
      <c r="Q150" s="594"/>
      <c r="R150" s="404"/>
      <c r="S150" s="75"/>
      <c r="T150" s="75"/>
      <c r="U150" s="76"/>
    </row>
    <row r="151" spans="1:21" x14ac:dyDescent="0.2">
      <c r="A151" s="595" t="s">
        <v>1231</v>
      </c>
      <c r="B151" s="522" t="s">
        <v>1232</v>
      </c>
      <c r="C151" s="182" t="s">
        <v>984</v>
      </c>
      <c r="D151" s="588">
        <v>340.1</v>
      </c>
      <c r="E151" s="588" t="s">
        <v>1233</v>
      </c>
      <c r="F151" s="239" t="s">
        <v>985</v>
      </c>
      <c r="G151" s="588" t="s">
        <v>1234</v>
      </c>
      <c r="H151" s="239" t="s">
        <v>985</v>
      </c>
      <c r="I151" s="588" t="s">
        <v>1234</v>
      </c>
      <c r="J151" s="153" t="s">
        <v>1114</v>
      </c>
      <c r="K151" s="466">
        <v>56</v>
      </c>
      <c r="L151" s="466" t="s">
        <v>995</v>
      </c>
      <c r="M151" s="773" t="s">
        <v>990</v>
      </c>
      <c r="N151" s="466" t="s">
        <v>991</v>
      </c>
      <c r="O151" s="774">
        <v>0.125</v>
      </c>
      <c r="P151" s="775" t="s">
        <v>1002</v>
      </c>
      <c r="Q151" s="522">
        <f>IF(N151="Half-Life",O151,(0.6931/(O151)))</f>
        <v>0.125</v>
      </c>
      <c r="R151" s="683">
        <f>IF(N151="Rate Constant",O151,(0.6931/(O151)))</f>
        <v>5.5448000000000004</v>
      </c>
      <c r="S151" s="466">
        <v>29</v>
      </c>
      <c r="T151" s="374" t="s">
        <v>1116</v>
      </c>
      <c r="U151" s="394">
        <f>VLOOKUP(T151,References!$B$7:$F$252,5,FALSE)</f>
        <v>145</v>
      </c>
    </row>
    <row r="152" spans="1:21" s="397" customFormat="1" ht="48" x14ac:dyDescent="0.2">
      <c r="A152" s="776" t="s">
        <v>1235</v>
      </c>
      <c r="B152" s="182" t="s">
        <v>1236</v>
      </c>
      <c r="C152" s="182" t="s">
        <v>1061</v>
      </c>
      <c r="D152" s="153">
        <v>413.2</v>
      </c>
      <c r="E152" s="153" t="s">
        <v>1237</v>
      </c>
      <c r="F152" s="152" t="s">
        <v>985</v>
      </c>
      <c r="G152" s="152" t="s">
        <v>985</v>
      </c>
      <c r="H152" s="152" t="s">
        <v>985</v>
      </c>
      <c r="I152" s="152" t="s">
        <v>985</v>
      </c>
      <c r="J152" s="182" t="s">
        <v>1238</v>
      </c>
      <c r="K152" s="239">
        <v>100</v>
      </c>
      <c r="L152" s="239" t="s">
        <v>989</v>
      </c>
      <c r="M152" s="239" t="s">
        <v>990</v>
      </c>
      <c r="N152" s="239" t="s">
        <v>996</v>
      </c>
      <c r="O152" s="239" t="s">
        <v>996</v>
      </c>
      <c r="P152" s="239" t="s">
        <v>996</v>
      </c>
      <c r="Q152" s="759" t="s">
        <v>658</v>
      </c>
      <c r="R152" s="759" t="s">
        <v>658</v>
      </c>
      <c r="S152" s="239" t="s">
        <v>33</v>
      </c>
      <c r="T152" s="374" t="s">
        <v>1028</v>
      </c>
      <c r="U152" s="394">
        <f>VLOOKUP(T152,References!$B$7:$F$252,5,FALSE)</f>
        <v>37</v>
      </c>
    </row>
    <row r="153" spans="1:21" s="397" customFormat="1" ht="48" x14ac:dyDescent="0.2">
      <c r="A153" s="777" t="s">
        <v>1239</v>
      </c>
      <c r="B153" s="182" t="s">
        <v>1240</v>
      </c>
      <c r="C153" s="182" t="s">
        <v>1061</v>
      </c>
      <c r="D153" s="153">
        <v>431.2</v>
      </c>
      <c r="E153" s="153" t="s">
        <v>1241</v>
      </c>
      <c r="F153" s="152" t="s">
        <v>985</v>
      </c>
      <c r="G153" s="152" t="s">
        <v>985</v>
      </c>
      <c r="H153" s="152" t="s">
        <v>985</v>
      </c>
      <c r="I153" s="152" t="s">
        <v>985</v>
      </c>
      <c r="J153" s="182" t="s">
        <v>1238</v>
      </c>
      <c r="K153" s="239">
        <v>100</v>
      </c>
      <c r="L153" s="239" t="s">
        <v>989</v>
      </c>
      <c r="M153" s="239" t="s">
        <v>990</v>
      </c>
      <c r="N153" s="239" t="s">
        <v>996</v>
      </c>
      <c r="O153" s="239" t="s">
        <v>996</v>
      </c>
      <c r="P153" s="239" t="s">
        <v>996</v>
      </c>
      <c r="Q153" s="759" t="s">
        <v>658</v>
      </c>
      <c r="R153" s="759" t="s">
        <v>658</v>
      </c>
      <c r="S153" s="239" t="s">
        <v>33</v>
      </c>
      <c r="T153" s="374" t="s">
        <v>1028</v>
      </c>
      <c r="U153" s="394">
        <f>VLOOKUP(T153,References!$B$7:$F$252,5,FALSE)</f>
        <v>37</v>
      </c>
    </row>
    <row r="154" spans="1:21" s="406" customFormat="1" x14ac:dyDescent="0.2">
      <c r="A154" s="157" t="s">
        <v>1242</v>
      </c>
      <c r="B154" s="152" t="s">
        <v>1243</v>
      </c>
      <c r="C154" s="152" t="s">
        <v>1061</v>
      </c>
      <c r="D154" s="141">
        <v>570.1</v>
      </c>
      <c r="E154" s="153" t="s">
        <v>1244</v>
      </c>
      <c r="F154" s="163" t="s">
        <v>1004</v>
      </c>
      <c r="G154" s="163" t="s">
        <v>1004</v>
      </c>
      <c r="H154" s="163" t="s">
        <v>1004</v>
      </c>
      <c r="I154" s="163" t="s">
        <v>1004</v>
      </c>
      <c r="J154" s="131" t="s">
        <v>668</v>
      </c>
      <c r="K154" s="131">
        <v>60</v>
      </c>
      <c r="L154" s="131" t="s">
        <v>989</v>
      </c>
      <c r="M154" s="131" t="s">
        <v>990</v>
      </c>
      <c r="N154" s="153" t="s">
        <v>991</v>
      </c>
      <c r="O154" s="131">
        <v>31</v>
      </c>
      <c r="P154" s="131" t="s">
        <v>1002</v>
      </c>
      <c r="Q154" s="182">
        <f t="shared" ref="Q154:Q160" si="69">IF(N154="Half-Life",O154,(0.6931/(O154)))</f>
        <v>31</v>
      </c>
      <c r="R154" s="328">
        <f>IF(N154="Rate Constant",O154,(0.6931/(O154)))</f>
        <v>2.2358064516129032E-2</v>
      </c>
      <c r="S154" s="231">
        <v>22</v>
      </c>
      <c r="T154" s="478" t="s">
        <v>1245</v>
      </c>
      <c r="U154" s="124">
        <f>VLOOKUP(T154,References!$B$7:$F$252,5,FALSE)</f>
        <v>75</v>
      </c>
    </row>
    <row r="155" spans="1:21" s="406" customFormat="1" ht="80" x14ac:dyDescent="0.2">
      <c r="A155" s="157" t="s">
        <v>1246</v>
      </c>
      <c r="B155" s="152" t="s">
        <v>1247</v>
      </c>
      <c r="C155" s="152" t="s">
        <v>1031</v>
      </c>
      <c r="D155" s="141">
        <v>474</v>
      </c>
      <c r="E155" s="153" t="s">
        <v>1248</v>
      </c>
      <c r="F155" s="588" t="s">
        <v>985</v>
      </c>
      <c r="G155" s="163" t="s">
        <v>1249</v>
      </c>
      <c r="H155" s="163" t="s">
        <v>985</v>
      </c>
      <c r="I155" s="588" t="s">
        <v>1250</v>
      </c>
      <c r="J155" s="153" t="s">
        <v>668</v>
      </c>
      <c r="K155" s="153">
        <v>28</v>
      </c>
      <c r="L155" s="153" t="s">
        <v>989</v>
      </c>
      <c r="M155" s="153" t="s">
        <v>990</v>
      </c>
      <c r="N155" s="153" t="s">
        <v>991</v>
      </c>
      <c r="O155" s="153">
        <v>4.5</v>
      </c>
      <c r="P155" s="153" t="s">
        <v>1002</v>
      </c>
      <c r="Q155" s="182">
        <f t="shared" si="69"/>
        <v>4.5</v>
      </c>
      <c r="R155" s="692">
        <f>IF(N155="Rate Constant",O155,(0.6931/(O155)))</f>
        <v>0.15402222222222223</v>
      </c>
      <c r="S155" s="163">
        <v>22</v>
      </c>
      <c r="T155" s="478" t="s">
        <v>1251</v>
      </c>
      <c r="U155" s="235">
        <f>VLOOKUP(T155,References!$B$7:$F$252,5,FALSE)</f>
        <v>107</v>
      </c>
    </row>
    <row r="156" spans="1:21" s="406" customFormat="1" ht="64" x14ac:dyDescent="0.2">
      <c r="A156" s="157" t="s">
        <v>1252</v>
      </c>
      <c r="B156" s="152" t="s">
        <v>1253</v>
      </c>
      <c r="C156" s="152" t="s">
        <v>1031</v>
      </c>
      <c r="D156" s="141">
        <v>512.29999999999995</v>
      </c>
      <c r="E156" s="153" t="s">
        <v>1254</v>
      </c>
      <c r="F156" s="588" t="s">
        <v>985</v>
      </c>
      <c r="G156" s="163" t="s">
        <v>1255</v>
      </c>
      <c r="H156" s="163" t="s">
        <v>1203</v>
      </c>
      <c r="I156" s="163" t="s">
        <v>1204</v>
      </c>
      <c r="J156" s="153" t="s">
        <v>1070</v>
      </c>
      <c r="K156" s="153">
        <v>100</v>
      </c>
      <c r="L156" s="153" t="s">
        <v>989</v>
      </c>
      <c r="M156" s="153" t="s">
        <v>990</v>
      </c>
      <c r="N156" s="153" t="s">
        <v>991</v>
      </c>
      <c r="O156" s="153">
        <v>11.5</v>
      </c>
      <c r="P156" s="153" t="s">
        <v>1002</v>
      </c>
      <c r="Q156" s="182">
        <f t="shared" si="69"/>
        <v>11.5</v>
      </c>
      <c r="R156" s="692">
        <f>IF(N156="Rate Constant",O156,(0.6931/(O156)))</f>
        <v>6.026956521739131E-2</v>
      </c>
      <c r="S156" s="163">
        <v>25</v>
      </c>
      <c r="T156" s="478" t="s">
        <v>1023</v>
      </c>
      <c r="U156" s="235">
        <f>VLOOKUP(T156,References!$B$7:$F$252,5,FALSE)</f>
        <v>38</v>
      </c>
    </row>
    <row r="157" spans="1:21" s="406" customFormat="1" ht="64" x14ac:dyDescent="0.2">
      <c r="A157" s="867" t="s">
        <v>1256</v>
      </c>
      <c r="B157" s="850" t="s">
        <v>1257</v>
      </c>
      <c r="C157" s="850" t="s">
        <v>1031</v>
      </c>
      <c r="D157" s="294">
        <v>518.20000000000005</v>
      </c>
      <c r="E157" s="239" t="s">
        <v>1258</v>
      </c>
      <c r="F157" s="588" t="s">
        <v>985</v>
      </c>
      <c r="G157" s="588" t="s">
        <v>396</v>
      </c>
      <c r="H157" s="588" t="s">
        <v>1259</v>
      </c>
      <c r="I157" s="588" t="s">
        <v>1260</v>
      </c>
      <c r="J157" s="153" t="s">
        <v>1261</v>
      </c>
      <c r="K157" s="239">
        <v>105</v>
      </c>
      <c r="L157" s="153" t="s">
        <v>989</v>
      </c>
      <c r="M157" s="239" t="s">
        <v>990</v>
      </c>
      <c r="N157" s="153" t="s">
        <v>991</v>
      </c>
      <c r="O157" s="239">
        <v>3.1</v>
      </c>
      <c r="P157" s="239" t="s">
        <v>1002</v>
      </c>
      <c r="Q157" s="182">
        <f t="shared" si="69"/>
        <v>3.1</v>
      </c>
      <c r="R157" s="692">
        <f t="shared" ref="R157:R160" si="70">IF(N157="Rate Constant",O157,(0.6931/(O157)))</f>
        <v>0.22358064516129034</v>
      </c>
      <c r="S157" s="588" t="s">
        <v>33</v>
      </c>
      <c r="T157" s="374" t="s">
        <v>1262</v>
      </c>
      <c r="U157" s="235">
        <f>VLOOKUP(T157,References!$B$7:$F$252,5,FALSE)</f>
        <v>106</v>
      </c>
    </row>
    <row r="158" spans="1:21" s="406" customFormat="1" ht="64" x14ac:dyDescent="0.2">
      <c r="A158" s="868"/>
      <c r="B158" s="869"/>
      <c r="C158" s="869"/>
      <c r="D158" s="294">
        <v>518.20000000000005</v>
      </c>
      <c r="E158" s="239" t="s">
        <v>1258</v>
      </c>
      <c r="F158" s="588" t="s">
        <v>985</v>
      </c>
      <c r="G158" s="588" t="s">
        <v>396</v>
      </c>
      <c r="H158" s="588" t="s">
        <v>1259</v>
      </c>
      <c r="I158" s="588" t="s">
        <v>1260</v>
      </c>
      <c r="J158" s="153" t="s">
        <v>1263</v>
      </c>
      <c r="K158" s="239">
        <v>105</v>
      </c>
      <c r="L158" s="153" t="s">
        <v>989</v>
      </c>
      <c r="M158" s="239" t="s">
        <v>990</v>
      </c>
      <c r="N158" s="153" t="s">
        <v>991</v>
      </c>
      <c r="O158" s="239">
        <v>5.01</v>
      </c>
      <c r="P158" s="239" t="s">
        <v>1002</v>
      </c>
      <c r="Q158" s="182">
        <f t="shared" ref="Q158:Q159" si="71">IF(N158="Half-Life",O158,(0.6931/(O158)))</f>
        <v>5.01</v>
      </c>
      <c r="R158" s="692">
        <f t="shared" ref="R158:R159" si="72">IF(N158="Rate Constant",O158,(0.6931/(O158)))</f>
        <v>0.13834331337325351</v>
      </c>
      <c r="S158" s="588" t="s">
        <v>33</v>
      </c>
      <c r="T158" s="374" t="s">
        <v>1262</v>
      </c>
      <c r="U158" s="235">
        <f>VLOOKUP(T158,References!$B$7:$F$252,5,FALSE)</f>
        <v>106</v>
      </c>
    </row>
    <row r="159" spans="1:21" s="406" customFormat="1" ht="64" x14ac:dyDescent="0.2">
      <c r="A159" s="879"/>
      <c r="B159" s="851"/>
      <c r="C159" s="851"/>
      <c r="D159" s="294">
        <v>518.20000000000005</v>
      </c>
      <c r="E159" s="239" t="s">
        <v>1258</v>
      </c>
      <c r="F159" s="588" t="s">
        <v>985</v>
      </c>
      <c r="G159" s="588" t="s">
        <v>396</v>
      </c>
      <c r="H159" s="588" t="s">
        <v>1264</v>
      </c>
      <c r="I159" s="588" t="s">
        <v>1260</v>
      </c>
      <c r="J159" s="153" t="s">
        <v>1265</v>
      </c>
      <c r="K159" s="239">
        <v>105</v>
      </c>
      <c r="L159" s="153" t="s">
        <v>989</v>
      </c>
      <c r="M159" s="239" t="s">
        <v>990</v>
      </c>
      <c r="N159" s="153" t="s">
        <v>991</v>
      </c>
      <c r="O159" s="239">
        <v>4.99</v>
      </c>
      <c r="P159" s="239" t="s">
        <v>1002</v>
      </c>
      <c r="Q159" s="182">
        <f t="shared" si="71"/>
        <v>4.99</v>
      </c>
      <c r="R159" s="692">
        <f t="shared" si="72"/>
        <v>0.13889779559118237</v>
      </c>
      <c r="S159" s="588" t="s">
        <v>33</v>
      </c>
      <c r="T159" s="374" t="s">
        <v>1262</v>
      </c>
      <c r="U159" s="235">
        <f>VLOOKUP(T159,References!$B$7:$F$252,5,FALSE)</f>
        <v>106</v>
      </c>
    </row>
    <row r="160" spans="1:21" s="406" customFormat="1" ht="64" x14ac:dyDescent="0.2">
      <c r="A160" s="246" t="s">
        <v>1266</v>
      </c>
      <c r="B160" s="182" t="s">
        <v>1267</v>
      </c>
      <c r="C160" s="182" t="s">
        <v>1031</v>
      </c>
      <c r="D160" s="294">
        <v>532.20000000000005</v>
      </c>
      <c r="E160" s="239" t="s">
        <v>1268</v>
      </c>
      <c r="F160" s="588" t="s">
        <v>985</v>
      </c>
      <c r="G160" s="588" t="s">
        <v>396</v>
      </c>
      <c r="H160" s="588" t="s">
        <v>1269</v>
      </c>
      <c r="I160" s="588" t="s">
        <v>1260</v>
      </c>
      <c r="J160" s="153" t="s">
        <v>1265</v>
      </c>
      <c r="K160" s="239">
        <v>105</v>
      </c>
      <c r="L160" s="153" t="s">
        <v>989</v>
      </c>
      <c r="M160" s="239" t="s">
        <v>990</v>
      </c>
      <c r="N160" s="153" t="s">
        <v>991</v>
      </c>
      <c r="O160" s="239">
        <v>15</v>
      </c>
      <c r="P160" s="239" t="s">
        <v>1002</v>
      </c>
      <c r="Q160" s="182">
        <f t="shared" si="69"/>
        <v>15</v>
      </c>
      <c r="R160" s="692">
        <f t="shared" si="70"/>
        <v>4.6206666666666667E-2</v>
      </c>
      <c r="S160" s="588" t="s">
        <v>33</v>
      </c>
      <c r="T160" s="374" t="s">
        <v>1262</v>
      </c>
      <c r="U160" s="235">
        <f>VLOOKUP(T160,References!$B$7:$F$252,5,FALSE)</f>
        <v>106</v>
      </c>
    </row>
    <row r="161" spans="1:28" s="396" customFormat="1" ht="64" x14ac:dyDescent="0.2">
      <c r="A161" s="246" t="s">
        <v>1270</v>
      </c>
      <c r="B161" s="182" t="s">
        <v>1271</v>
      </c>
      <c r="C161" s="182" t="s">
        <v>1031</v>
      </c>
      <c r="D161" s="294">
        <v>730.6</v>
      </c>
      <c r="E161" s="239" t="s">
        <v>1272</v>
      </c>
      <c r="F161" s="588" t="s">
        <v>985</v>
      </c>
      <c r="G161" s="588" t="s">
        <v>396</v>
      </c>
      <c r="H161" s="588" t="s">
        <v>1273</v>
      </c>
      <c r="I161" s="588" t="s">
        <v>1274</v>
      </c>
      <c r="J161" s="239" t="s">
        <v>668</v>
      </c>
      <c r="K161" s="239">
        <v>80</v>
      </c>
      <c r="L161" s="239" t="s">
        <v>989</v>
      </c>
      <c r="M161" s="239" t="s">
        <v>990</v>
      </c>
      <c r="N161" s="239" t="s">
        <v>991</v>
      </c>
      <c r="O161" s="239">
        <v>10.3</v>
      </c>
      <c r="P161" s="239" t="s">
        <v>1002</v>
      </c>
      <c r="Q161" s="182">
        <f>IF(N161="Half-Life",O161,(0.6931/(O161)))</f>
        <v>10.3</v>
      </c>
      <c r="R161" s="344">
        <f>IF(N161="Rate Constant",O161,(0.6931/(O161)))</f>
        <v>6.7291262135922333E-2</v>
      </c>
      <c r="S161" s="588">
        <v>22</v>
      </c>
      <c r="T161" s="374" t="s">
        <v>1275</v>
      </c>
      <c r="U161" s="394">
        <f>VLOOKUP(T161,References!$B$7:$F$252,5,FALSE)</f>
        <v>28</v>
      </c>
      <c r="V161" s="406"/>
      <c r="W161" s="406"/>
      <c r="X161" s="406"/>
      <c r="Y161" s="406"/>
      <c r="Z161" s="406"/>
      <c r="AA161" s="406"/>
      <c r="AB161" s="406"/>
    </row>
    <row r="162" spans="1:28" s="472" customFormat="1" x14ac:dyDescent="0.2">
      <c r="A162" s="387" t="s">
        <v>1276</v>
      </c>
      <c r="B162" s="182" t="s">
        <v>1277</v>
      </c>
      <c r="C162" s="182" t="s">
        <v>984</v>
      </c>
      <c r="D162" s="294">
        <v>486.4</v>
      </c>
      <c r="E162" s="239" t="s">
        <v>1278</v>
      </c>
      <c r="F162" s="814"/>
      <c r="G162" s="814"/>
      <c r="H162" s="815"/>
      <c r="I162" s="814"/>
      <c r="J162" s="816"/>
      <c r="K162" s="817"/>
      <c r="L162" s="816"/>
      <c r="M162" s="815"/>
      <c r="N162" s="816"/>
      <c r="O162" s="815"/>
      <c r="P162" s="815"/>
      <c r="Q162" s="818"/>
      <c r="R162" s="819"/>
      <c r="S162" s="815"/>
      <c r="T162" s="820"/>
      <c r="U162" s="821"/>
    </row>
    <row r="163" spans="1:28" s="472" customFormat="1" ht="50" x14ac:dyDescent="0.2">
      <c r="A163" s="822" t="s">
        <v>1280</v>
      </c>
      <c r="B163" s="152" t="s">
        <v>1281</v>
      </c>
      <c r="C163" s="152" t="s">
        <v>984</v>
      </c>
      <c r="D163" s="294">
        <v>586.4</v>
      </c>
      <c r="E163" s="239" t="s">
        <v>1282</v>
      </c>
      <c r="F163" s="182" t="s">
        <v>1621</v>
      </c>
      <c r="G163" s="182" t="s">
        <v>1283</v>
      </c>
      <c r="H163" s="182" t="s">
        <v>1284</v>
      </c>
      <c r="I163" s="182" t="s">
        <v>1285</v>
      </c>
      <c r="J163" s="294" t="s">
        <v>668</v>
      </c>
      <c r="K163" s="588">
        <v>20</v>
      </c>
      <c r="L163" s="294" t="s">
        <v>989</v>
      </c>
      <c r="M163" s="239" t="s">
        <v>990</v>
      </c>
      <c r="N163" s="294" t="s">
        <v>1033</v>
      </c>
      <c r="O163" s="239">
        <v>0.11</v>
      </c>
      <c r="P163" s="239" t="s">
        <v>1034</v>
      </c>
      <c r="Q163" s="778">
        <f>IF(N163="Half-Life",O163,(0.6931/(O163)))</f>
        <v>6.3009090909090917</v>
      </c>
      <c r="R163" s="344">
        <f t="shared" ref="R163" si="73">IF(N163="Rate Constant",O163,(0.6931/(O163)))</f>
        <v>0.11</v>
      </c>
      <c r="S163" s="239" t="s">
        <v>33</v>
      </c>
      <c r="T163" s="374" t="s">
        <v>1286</v>
      </c>
      <c r="U163" s="394">
        <f>VLOOKUP(T163,References!$B$7:$F$252,5,FALSE)</f>
        <v>96</v>
      </c>
    </row>
    <row r="164" spans="1:28" s="472" customFormat="1" x14ac:dyDescent="0.2">
      <c r="A164" s="387" t="s">
        <v>1288</v>
      </c>
      <c r="B164" s="182" t="s">
        <v>1289</v>
      </c>
      <c r="C164" s="182" t="s">
        <v>984</v>
      </c>
      <c r="D164" s="294">
        <v>686.4</v>
      </c>
      <c r="E164" s="239" t="s">
        <v>1290</v>
      </c>
      <c r="F164" s="814"/>
      <c r="G164" s="814"/>
      <c r="H164" s="815"/>
      <c r="I164" s="814"/>
      <c r="J164" s="816"/>
      <c r="K164" s="817"/>
      <c r="L164" s="816"/>
      <c r="M164" s="815"/>
      <c r="N164" s="816"/>
      <c r="O164" s="815"/>
      <c r="P164" s="815"/>
      <c r="Q164" s="818"/>
      <c r="R164" s="819"/>
      <c r="S164" s="815"/>
      <c r="T164" s="820"/>
      <c r="U164" s="821"/>
    </row>
    <row r="165" spans="1:28" s="406" customFormat="1" x14ac:dyDescent="0.2">
      <c r="A165" s="157" t="s">
        <v>1291</v>
      </c>
      <c r="B165" s="152" t="s">
        <v>1292</v>
      </c>
      <c r="C165" s="58" t="s">
        <v>1031</v>
      </c>
      <c r="D165" s="779">
        <v>1180</v>
      </c>
      <c r="E165" s="153"/>
      <c r="F165" s="588" t="s">
        <v>985</v>
      </c>
      <c r="G165" s="588" t="s">
        <v>396</v>
      </c>
      <c r="H165" s="163" t="s">
        <v>1293</v>
      </c>
      <c r="I165" s="163" t="s">
        <v>78</v>
      </c>
      <c r="J165" s="153" t="s">
        <v>668</v>
      </c>
      <c r="K165" s="153">
        <v>117</v>
      </c>
      <c r="L165" s="153" t="s">
        <v>989</v>
      </c>
      <c r="M165" s="153" t="s">
        <v>524</v>
      </c>
      <c r="N165" s="153" t="s">
        <v>991</v>
      </c>
      <c r="O165" s="153">
        <v>126</v>
      </c>
      <c r="P165" s="153" t="s">
        <v>1002</v>
      </c>
      <c r="Q165" s="182">
        <f t="shared" ref="Q165:Q166" si="74">IF(N165="Half-Life",O165,(0.6931/(O165)))</f>
        <v>126</v>
      </c>
      <c r="R165" s="692">
        <f t="shared" ref="R165:R166" si="75">IF(N165="Rate Constant",O165,(0.6931/(O165)))</f>
        <v>5.5007936507936511E-3</v>
      </c>
      <c r="S165" s="163" t="s">
        <v>33</v>
      </c>
      <c r="T165" s="478" t="s">
        <v>1294</v>
      </c>
      <c r="U165" s="394">
        <f>VLOOKUP(T165,References!$B$7:$F$252,5,FALSE)</f>
        <v>29</v>
      </c>
    </row>
    <row r="166" spans="1:28" s="406" customFormat="1" x14ac:dyDescent="0.2">
      <c r="A166" s="186" t="s">
        <v>1295</v>
      </c>
      <c r="B166" s="149" t="s">
        <v>1296</v>
      </c>
      <c r="C166" s="152" t="s">
        <v>1031</v>
      </c>
      <c r="D166" s="780">
        <v>680</v>
      </c>
      <c r="E166" s="145"/>
      <c r="F166" s="588" t="s">
        <v>985</v>
      </c>
      <c r="G166" s="588" t="s">
        <v>396</v>
      </c>
      <c r="H166" s="348" t="s">
        <v>1293</v>
      </c>
      <c r="I166" s="348" t="s">
        <v>78</v>
      </c>
      <c r="J166" s="145" t="s">
        <v>668</v>
      </c>
      <c r="K166" s="145">
        <v>180</v>
      </c>
      <c r="L166" s="145" t="s">
        <v>989</v>
      </c>
      <c r="M166" s="145" t="s">
        <v>524</v>
      </c>
      <c r="N166" s="153" t="s">
        <v>991</v>
      </c>
      <c r="O166" s="145">
        <v>521</v>
      </c>
      <c r="P166" s="145" t="s">
        <v>1002</v>
      </c>
      <c r="Q166" s="182">
        <f t="shared" si="74"/>
        <v>521</v>
      </c>
      <c r="R166" s="692">
        <f t="shared" si="75"/>
        <v>1.3303262955854129E-3</v>
      </c>
      <c r="S166" s="348" t="s">
        <v>33</v>
      </c>
      <c r="T166" s="478" t="s">
        <v>1294</v>
      </c>
      <c r="U166" s="394">
        <f>VLOOKUP(T166,References!$B$7:$F$252,5,FALSE)</f>
        <v>29</v>
      </c>
    </row>
    <row r="167" spans="1:28" x14ac:dyDescent="0.2">
      <c r="A167" s="237" t="s">
        <v>1297</v>
      </c>
      <c r="B167" s="158"/>
      <c r="C167" s="158"/>
      <c r="D167" s="165"/>
      <c r="E167" s="165"/>
      <c r="F167" s="165"/>
      <c r="G167" s="165"/>
      <c r="H167" s="165"/>
      <c r="I167" s="165"/>
      <c r="J167" s="75"/>
      <c r="K167" s="75"/>
      <c r="L167" s="75"/>
      <c r="M167" s="106"/>
      <c r="N167" s="75"/>
      <c r="O167" s="106"/>
      <c r="P167" s="106"/>
      <c r="Q167" s="594"/>
      <c r="R167" s="404"/>
      <c r="S167" s="75"/>
      <c r="T167" s="75"/>
      <c r="U167" s="76"/>
    </row>
    <row r="168" spans="1:28" x14ac:dyDescent="0.2">
      <c r="A168" s="190" t="s">
        <v>1298</v>
      </c>
      <c r="B168" s="155"/>
      <c r="C168" s="155" t="s">
        <v>1031</v>
      </c>
      <c r="D168" s="590" t="s">
        <v>1299</v>
      </c>
      <c r="E168" s="781" t="s">
        <v>658</v>
      </c>
      <c r="F168" s="590"/>
      <c r="G168" s="590"/>
      <c r="H168" s="590"/>
      <c r="I168" s="590" t="s">
        <v>78</v>
      </c>
      <c r="J168" s="590" t="s">
        <v>1300</v>
      </c>
      <c r="K168" s="590">
        <v>273</v>
      </c>
      <c r="L168" s="590" t="s">
        <v>989</v>
      </c>
      <c r="M168" s="782" t="s">
        <v>990</v>
      </c>
      <c r="N168" s="590" t="s">
        <v>1301</v>
      </c>
      <c r="O168" s="783">
        <v>48180</v>
      </c>
      <c r="P168" s="156" t="s">
        <v>1002</v>
      </c>
      <c r="Q168" s="784">
        <f t="shared" ref="Q168:Q171" si="76">IF(N168="Half-Life",O168,(0.6931/(O168)))</f>
        <v>48180</v>
      </c>
      <c r="R168" s="707">
        <f>IF(N168="Rate Constant",O168,(0.6931/(O168)))</f>
        <v>1.4385637193856373E-5</v>
      </c>
      <c r="S168" s="590">
        <v>20</v>
      </c>
      <c r="T168" s="785" t="s">
        <v>1302</v>
      </c>
      <c r="U168" s="393">
        <f>VLOOKUP(T168,References!$B$7:$F$252,5,FALSE)</f>
        <v>110</v>
      </c>
    </row>
    <row r="169" spans="1:28" x14ac:dyDescent="0.2">
      <c r="A169" s="191" t="s">
        <v>1298</v>
      </c>
      <c r="B169" s="152"/>
      <c r="C169" s="152" t="s">
        <v>1031</v>
      </c>
      <c r="D169" s="163" t="s">
        <v>1299</v>
      </c>
      <c r="E169" s="786" t="s">
        <v>658</v>
      </c>
      <c r="F169" s="163" t="s">
        <v>985</v>
      </c>
      <c r="G169" s="163" t="s">
        <v>78</v>
      </c>
      <c r="H169" s="163" t="s">
        <v>985</v>
      </c>
      <c r="I169" s="163" t="s">
        <v>78</v>
      </c>
      <c r="J169" s="163" t="s">
        <v>1300</v>
      </c>
      <c r="K169" s="163">
        <v>273</v>
      </c>
      <c r="L169" s="163" t="s">
        <v>989</v>
      </c>
      <c r="M169" s="787" t="s">
        <v>990</v>
      </c>
      <c r="N169" s="163" t="s">
        <v>1301</v>
      </c>
      <c r="O169" s="788">
        <v>192355</v>
      </c>
      <c r="P169" s="153" t="s">
        <v>1002</v>
      </c>
      <c r="Q169" s="789">
        <f t="shared" si="76"/>
        <v>192355</v>
      </c>
      <c r="R169" s="692">
        <f>IF(N169="Rate Constant",O169,(0.6931/(O169)))</f>
        <v>3.6032336045332852E-6</v>
      </c>
      <c r="S169" s="163">
        <v>20</v>
      </c>
      <c r="T169" s="118" t="s">
        <v>1302</v>
      </c>
      <c r="U169" s="235">
        <f>VLOOKUP(T169,References!$B$7:$F$252,5,FALSE)</f>
        <v>110</v>
      </c>
    </row>
    <row r="170" spans="1:28" ht="64" x14ac:dyDescent="0.2">
      <c r="A170" s="191" t="s">
        <v>1303</v>
      </c>
      <c r="B170" s="152"/>
      <c r="C170" s="152" t="s">
        <v>1031</v>
      </c>
      <c r="D170" s="163" t="s">
        <v>1299</v>
      </c>
      <c r="E170" s="786" t="s">
        <v>658</v>
      </c>
      <c r="F170" s="588" t="s">
        <v>985</v>
      </c>
      <c r="G170" s="163" t="s">
        <v>396</v>
      </c>
      <c r="H170" s="163" t="s">
        <v>1304</v>
      </c>
      <c r="I170" s="163" t="s">
        <v>1305</v>
      </c>
      <c r="J170" s="163" t="s">
        <v>1300</v>
      </c>
      <c r="K170" s="163">
        <v>730</v>
      </c>
      <c r="L170" s="163" t="s">
        <v>989</v>
      </c>
      <c r="M170" s="787" t="s">
        <v>524</v>
      </c>
      <c r="N170" s="163" t="s">
        <v>1301</v>
      </c>
      <c r="O170" s="790">
        <v>438000</v>
      </c>
      <c r="P170" s="153" t="s">
        <v>1002</v>
      </c>
      <c r="Q170" s="791">
        <f t="shared" si="76"/>
        <v>438000</v>
      </c>
      <c r="R170" s="692">
        <f>IF(N170="Rate Constant",O170,(0.6931/(O170)))</f>
        <v>1.582420091324201E-6</v>
      </c>
      <c r="S170" s="163">
        <v>20</v>
      </c>
      <c r="T170" s="118" t="s">
        <v>1306</v>
      </c>
      <c r="U170" s="394">
        <f>VLOOKUP(T170,References!$B$7:$F$252,5,FALSE)</f>
        <v>109</v>
      </c>
    </row>
    <row r="171" spans="1:28" ht="33" thickBot="1" x14ac:dyDescent="0.25">
      <c r="A171" s="205" t="s">
        <v>1303</v>
      </c>
      <c r="B171" s="647"/>
      <c r="C171" s="647" t="s">
        <v>1031</v>
      </c>
      <c r="D171" s="716" t="s">
        <v>1299</v>
      </c>
      <c r="E171" s="792" t="s">
        <v>658</v>
      </c>
      <c r="F171" s="716" t="s">
        <v>985</v>
      </c>
      <c r="G171" s="716" t="s">
        <v>407</v>
      </c>
      <c r="H171" s="716" t="s">
        <v>985</v>
      </c>
      <c r="I171" s="716" t="s">
        <v>1307</v>
      </c>
      <c r="J171" s="716" t="s">
        <v>1300</v>
      </c>
      <c r="K171" s="716">
        <v>730</v>
      </c>
      <c r="L171" s="716" t="s">
        <v>989</v>
      </c>
      <c r="M171" s="793" t="s">
        <v>524</v>
      </c>
      <c r="N171" s="716" t="s">
        <v>1301</v>
      </c>
      <c r="O171" s="794">
        <v>284700</v>
      </c>
      <c r="P171" s="299" t="s">
        <v>1002</v>
      </c>
      <c r="Q171" s="795">
        <f t="shared" si="76"/>
        <v>284700</v>
      </c>
      <c r="R171" s="796">
        <f>IF(N171="Rate Constant",O171,(0.6931/(O171)))</f>
        <v>2.4344924481910786E-6</v>
      </c>
      <c r="S171" s="716">
        <v>20</v>
      </c>
      <c r="T171" s="797" t="s">
        <v>1306</v>
      </c>
      <c r="U171" s="365">
        <f>VLOOKUP(T171,References!$B$7:$F$252,5,FALSE)</f>
        <v>109</v>
      </c>
    </row>
    <row r="172" spans="1:28" x14ac:dyDescent="0.2">
      <c r="A172" s="395"/>
      <c r="B172" s="149"/>
      <c r="C172" s="149"/>
      <c r="D172" s="133"/>
      <c r="E172" s="145"/>
      <c r="F172" s="145"/>
      <c r="G172" s="145"/>
      <c r="H172" s="145"/>
      <c r="I172" s="145"/>
      <c r="J172" s="178"/>
      <c r="K172" s="463"/>
      <c r="L172" s="178"/>
      <c r="M172" s="530"/>
      <c r="N172" s="178"/>
      <c r="O172" s="58"/>
      <c r="P172" s="530"/>
      <c r="Q172" s="531"/>
      <c r="R172" s="574"/>
      <c r="S172" s="530"/>
      <c r="T172" s="539"/>
      <c r="U172" s="58"/>
    </row>
    <row r="173" spans="1:28" x14ac:dyDescent="0.2">
      <c r="A173" s="415" t="s">
        <v>487</v>
      </c>
    </row>
    <row r="174" spans="1:28" s="2" customFormat="1" ht="15" x14ac:dyDescent="0.2">
      <c r="A174" s="2" t="s">
        <v>1308</v>
      </c>
      <c r="B174" s="3"/>
      <c r="C174" s="3"/>
      <c r="J174" s="3"/>
      <c r="K174" s="3"/>
      <c r="L174" s="3"/>
      <c r="M174" s="60"/>
      <c r="N174" s="3"/>
      <c r="O174" s="3"/>
      <c r="P174" s="29"/>
      <c r="Q174" s="3"/>
      <c r="R174" s="402"/>
      <c r="S174" s="3"/>
      <c r="T174" s="3"/>
      <c r="U174" s="29"/>
    </row>
    <row r="175" spans="1:28" s="2" customFormat="1" ht="15" x14ac:dyDescent="0.2">
      <c r="A175" s="2" t="s">
        <v>1309</v>
      </c>
      <c r="B175" s="3"/>
      <c r="C175" s="3"/>
      <c r="J175" s="3"/>
      <c r="K175" s="3"/>
      <c r="L175" s="3"/>
      <c r="M175" s="60"/>
      <c r="N175" s="3"/>
      <c r="O175" s="3"/>
      <c r="P175" s="29"/>
      <c r="Q175" s="3"/>
      <c r="R175" s="402"/>
      <c r="S175" s="3"/>
      <c r="T175" s="3"/>
      <c r="U175" s="29"/>
    </row>
    <row r="176" spans="1:28" s="2" customFormat="1" ht="15" x14ac:dyDescent="0.2">
      <c r="A176" s="2" t="s">
        <v>1310</v>
      </c>
      <c r="B176" s="3"/>
      <c r="C176" s="3"/>
      <c r="J176" s="3"/>
      <c r="K176" s="3"/>
      <c r="L176" s="3"/>
      <c r="M176" s="60"/>
      <c r="N176" s="3"/>
      <c r="O176" s="3"/>
      <c r="P176" s="29"/>
      <c r="Q176" s="3"/>
      <c r="R176" s="402"/>
      <c r="S176" s="3"/>
      <c r="T176" s="3"/>
      <c r="U176" s="29"/>
    </row>
    <row r="177" spans="1:39" s="2" customFormat="1" ht="15" x14ac:dyDescent="0.2">
      <c r="A177" s="2" t="s">
        <v>1311</v>
      </c>
      <c r="B177" s="3"/>
      <c r="C177" s="3"/>
      <c r="J177" s="3"/>
      <c r="K177" s="3"/>
      <c r="L177" s="3"/>
      <c r="M177" s="60"/>
      <c r="N177" s="3"/>
      <c r="O177" s="3"/>
      <c r="P177" s="29"/>
      <c r="Q177" s="3"/>
      <c r="R177" s="402"/>
      <c r="S177" s="3"/>
      <c r="T177" s="3"/>
      <c r="U177" s="29"/>
    </row>
    <row r="178" spans="1:39" x14ac:dyDescent="0.2">
      <c r="A178" s="2" t="s">
        <v>490</v>
      </c>
    </row>
    <row r="179" spans="1:39" s="5" customFormat="1" ht="15" x14ac:dyDescent="0.2">
      <c r="A179" s="10" t="s">
        <v>647</v>
      </c>
      <c r="B179" s="3"/>
      <c r="C179" s="3"/>
      <c r="D179" s="20"/>
      <c r="E179" s="6"/>
      <c r="F179" s="6"/>
      <c r="G179" s="6"/>
      <c r="H179" s="6"/>
      <c r="I179" s="6"/>
      <c r="J179" s="6"/>
      <c r="K179" s="6"/>
      <c r="L179" s="6"/>
      <c r="M179" s="6"/>
      <c r="N179" s="6"/>
      <c r="P179" s="6"/>
      <c r="Q179" s="6"/>
      <c r="R179" s="405"/>
      <c r="S179" s="6"/>
      <c r="T179" s="6"/>
      <c r="U179" s="6"/>
      <c r="V179" s="6"/>
      <c r="W179" s="6"/>
      <c r="X179" s="6"/>
      <c r="Y179" s="6"/>
      <c r="Z179" s="6"/>
      <c r="AA179" s="6"/>
      <c r="AB179" s="6"/>
      <c r="AC179" s="6"/>
      <c r="AD179" s="6"/>
      <c r="AE179" s="6"/>
      <c r="AF179" s="6"/>
      <c r="AG179" s="6"/>
      <c r="AH179" s="6"/>
      <c r="AI179" s="6"/>
      <c r="AJ179" s="6"/>
      <c r="AK179" s="6"/>
      <c r="AL179" s="6"/>
      <c r="AM179" s="6"/>
    </row>
    <row r="180" spans="1:39" s="2" customFormat="1" ht="15" x14ac:dyDescent="0.2">
      <c r="A180" s="2" t="s">
        <v>1312</v>
      </c>
      <c r="B180" s="3"/>
      <c r="C180" s="3"/>
      <c r="J180" s="3"/>
      <c r="K180" s="3"/>
      <c r="L180" s="3"/>
      <c r="M180" s="60"/>
      <c r="N180" s="3"/>
      <c r="O180" s="3"/>
      <c r="P180" s="29"/>
      <c r="Q180" s="3"/>
      <c r="R180" s="402"/>
      <c r="S180" s="3"/>
      <c r="T180" s="3"/>
      <c r="U180" s="29"/>
    </row>
    <row r="181" spans="1:39" s="2" customFormat="1" ht="15" x14ac:dyDescent="0.2">
      <c r="A181" s="2" t="s">
        <v>1313</v>
      </c>
      <c r="B181" s="3"/>
      <c r="C181" s="3"/>
      <c r="J181" s="3"/>
      <c r="K181" s="3"/>
      <c r="L181" s="3"/>
      <c r="M181" s="60"/>
      <c r="N181" s="3"/>
      <c r="O181" s="3"/>
      <c r="P181" s="29"/>
      <c r="Q181" s="3"/>
      <c r="R181" s="402"/>
      <c r="S181" s="3"/>
      <c r="T181" s="3"/>
      <c r="U181" s="29"/>
    </row>
    <row r="182" spans="1:39" s="2" customFormat="1" ht="15" x14ac:dyDescent="0.2">
      <c r="A182" s="947" t="s">
        <v>1314</v>
      </c>
      <c r="B182" s="947"/>
      <c r="C182" s="947"/>
      <c r="D182" s="947"/>
      <c r="E182" s="947"/>
      <c r="J182" s="3"/>
      <c r="K182" s="3"/>
      <c r="L182" s="3"/>
      <c r="M182" s="60"/>
      <c r="N182" s="3"/>
      <c r="O182" s="3"/>
      <c r="P182" s="29"/>
      <c r="Q182" s="3"/>
      <c r="R182" s="402"/>
      <c r="S182" s="3"/>
      <c r="T182" s="3"/>
      <c r="U182" s="29"/>
    </row>
    <row r="183" spans="1:39" s="2" customFormat="1" ht="15" x14ac:dyDescent="0.2">
      <c r="A183" s="2" t="s">
        <v>1315</v>
      </c>
      <c r="B183" s="3"/>
      <c r="C183" s="3"/>
      <c r="J183" s="3"/>
      <c r="K183" s="3"/>
      <c r="L183" s="3"/>
      <c r="M183" s="60"/>
      <c r="N183" s="3"/>
      <c r="O183" s="3"/>
      <c r="P183" s="29"/>
      <c r="Q183" s="3"/>
      <c r="R183" s="402"/>
      <c r="S183" s="3"/>
      <c r="T183" s="3"/>
      <c r="U183" s="29"/>
    </row>
    <row r="184" spans="1:39" s="2" customFormat="1" ht="15" x14ac:dyDescent="0.2">
      <c r="A184" s="2" t="s">
        <v>1316</v>
      </c>
      <c r="B184" s="3"/>
      <c r="C184" s="3"/>
      <c r="J184" s="3"/>
      <c r="K184" s="3"/>
      <c r="L184" s="3"/>
      <c r="M184" s="60"/>
      <c r="N184" s="3"/>
      <c r="O184" s="3"/>
      <c r="P184" s="29"/>
      <c r="Q184" s="3"/>
      <c r="R184" s="402"/>
      <c r="S184" s="3"/>
      <c r="T184" s="3"/>
      <c r="U184" s="29"/>
    </row>
    <row r="185" spans="1:39" s="2" customFormat="1" ht="15" x14ac:dyDescent="0.2">
      <c r="A185" s="2" t="s">
        <v>1317</v>
      </c>
      <c r="B185" s="3"/>
      <c r="C185" s="3"/>
      <c r="J185" s="3"/>
      <c r="K185" s="3"/>
      <c r="L185" s="3"/>
      <c r="M185" s="60"/>
      <c r="N185" s="3"/>
      <c r="O185" s="3"/>
      <c r="P185" s="29"/>
      <c r="Q185" s="3"/>
      <c r="R185" s="402"/>
      <c r="S185" s="3"/>
      <c r="T185" s="3"/>
      <c r="U185" s="29"/>
    </row>
    <row r="186" spans="1:39" s="2" customFormat="1" ht="15" x14ac:dyDescent="0.2">
      <c r="A186" s="2" t="s">
        <v>1318</v>
      </c>
      <c r="B186" s="3"/>
      <c r="C186" s="3"/>
      <c r="J186" s="3"/>
      <c r="K186" s="3"/>
      <c r="L186" s="3"/>
      <c r="M186" s="60"/>
      <c r="N186" s="3"/>
      <c r="O186" s="3"/>
      <c r="P186" s="29"/>
      <c r="Q186" s="3"/>
      <c r="R186" s="402"/>
      <c r="S186" s="3"/>
      <c r="T186" s="3"/>
      <c r="U186" s="29"/>
    </row>
    <row r="187" spans="1:39" s="2" customFormat="1" ht="15" x14ac:dyDescent="0.2">
      <c r="A187" s="2" t="s">
        <v>1319</v>
      </c>
      <c r="B187" s="3"/>
      <c r="C187" s="3"/>
      <c r="J187" s="3"/>
      <c r="K187" s="3"/>
      <c r="L187" s="3"/>
      <c r="M187" s="60"/>
      <c r="N187" s="3"/>
      <c r="O187" s="3"/>
      <c r="P187" s="29"/>
      <c r="Q187" s="3"/>
      <c r="R187" s="402"/>
      <c r="S187" s="3"/>
      <c r="T187" s="3"/>
      <c r="U187" s="29"/>
    </row>
    <row r="188" spans="1:39" s="2" customFormat="1" ht="15" x14ac:dyDescent="0.2">
      <c r="A188" s="2" t="s">
        <v>1320</v>
      </c>
      <c r="B188" s="3"/>
      <c r="C188" s="3"/>
      <c r="J188" s="3"/>
      <c r="K188" s="3"/>
      <c r="L188" s="3"/>
      <c r="M188" s="60"/>
      <c r="N188" s="3"/>
      <c r="O188" s="3"/>
      <c r="P188" s="29"/>
      <c r="Q188" s="3"/>
      <c r="R188" s="402"/>
      <c r="S188" s="3"/>
      <c r="T188" s="3"/>
      <c r="U188" s="29"/>
    </row>
    <row r="189" spans="1:39" x14ac:dyDescent="0.2">
      <c r="A189" s="66" t="s">
        <v>1321</v>
      </c>
    </row>
    <row r="190" spans="1:39" x14ac:dyDescent="0.2">
      <c r="A190" s="66" t="s">
        <v>1322</v>
      </c>
    </row>
    <row r="191" spans="1:39" x14ac:dyDescent="0.2">
      <c r="A191" s="66" t="s">
        <v>551</v>
      </c>
    </row>
    <row r="192" spans="1:39" s="2" customFormat="1" ht="15" x14ac:dyDescent="0.2">
      <c r="A192" s="2" t="s">
        <v>1323</v>
      </c>
      <c r="B192" s="3"/>
      <c r="C192" s="3"/>
      <c r="J192" s="3"/>
      <c r="K192" s="3"/>
      <c r="L192" s="3"/>
      <c r="M192" s="60"/>
      <c r="N192" s="3"/>
      <c r="O192" s="3"/>
      <c r="P192" s="29"/>
      <c r="Q192" s="3"/>
      <c r="R192" s="402"/>
      <c r="S192" s="3"/>
      <c r="T192" s="3"/>
      <c r="U192" s="29"/>
    </row>
    <row r="193" spans="1:39" s="2" customFormat="1" ht="15" x14ac:dyDescent="0.2">
      <c r="A193" s="398" t="s">
        <v>1324</v>
      </c>
      <c r="B193" s="399"/>
      <c r="C193" s="399"/>
      <c r="D193" s="398"/>
      <c r="E193" s="398"/>
      <c r="J193" s="3"/>
      <c r="K193" s="3"/>
      <c r="L193" s="3"/>
      <c r="M193" s="60"/>
      <c r="N193" s="3"/>
      <c r="O193" s="3"/>
      <c r="P193" s="29"/>
      <c r="Q193" s="3"/>
      <c r="R193" s="402"/>
      <c r="S193" s="3"/>
      <c r="T193" s="3"/>
      <c r="U193" s="29"/>
    </row>
    <row r="194" spans="1:39" s="2" customFormat="1" ht="15" x14ac:dyDescent="0.2">
      <c r="A194" s="413" t="s">
        <v>1325</v>
      </c>
      <c r="B194" s="414"/>
      <c r="C194" s="414"/>
      <c r="D194" s="413"/>
      <c r="E194" s="413"/>
      <c r="J194" s="3"/>
      <c r="K194" s="3"/>
      <c r="L194" s="3"/>
      <c r="M194" s="60"/>
      <c r="N194" s="3"/>
      <c r="O194" s="3"/>
      <c r="P194" s="29"/>
      <c r="Q194" s="3"/>
      <c r="R194" s="402"/>
      <c r="S194" s="3"/>
      <c r="T194" s="3"/>
      <c r="U194" s="29"/>
    </row>
    <row r="195" spans="1:39" s="2" customFormat="1" ht="15" x14ac:dyDescent="0.2">
      <c r="A195" s="2" t="s">
        <v>1326</v>
      </c>
      <c r="B195" s="3"/>
      <c r="C195" s="3"/>
      <c r="J195" s="3"/>
      <c r="K195" s="3"/>
      <c r="L195" s="3"/>
      <c r="M195" s="60"/>
      <c r="N195" s="3"/>
      <c r="O195" s="3"/>
      <c r="P195" s="29"/>
      <c r="Q195" s="3"/>
      <c r="R195" s="402"/>
      <c r="S195" s="3"/>
      <c r="T195" s="3"/>
      <c r="U195" s="29"/>
    </row>
    <row r="196" spans="1:39" s="2" customFormat="1" ht="15" x14ac:dyDescent="0.2">
      <c r="A196" s="2" t="s">
        <v>1327</v>
      </c>
      <c r="B196" s="3"/>
      <c r="C196" s="3"/>
      <c r="J196" s="3"/>
      <c r="K196" s="3"/>
      <c r="L196" s="3"/>
      <c r="M196" s="60"/>
      <c r="N196" s="3"/>
      <c r="O196" s="3"/>
      <c r="P196" s="29"/>
      <c r="Q196" s="3"/>
      <c r="R196" s="402"/>
      <c r="S196" s="3"/>
      <c r="T196" s="3"/>
      <c r="U196" s="29"/>
    </row>
    <row r="197" spans="1:39" s="2" customFormat="1" ht="15" x14ac:dyDescent="0.2">
      <c r="A197" s="521" t="s">
        <v>1328</v>
      </c>
      <c r="B197" s="3"/>
      <c r="C197" s="3"/>
      <c r="J197" s="3"/>
      <c r="K197" s="3"/>
      <c r="L197" s="3"/>
      <c r="M197" s="60"/>
      <c r="N197" s="3"/>
      <c r="O197" s="3"/>
      <c r="P197" s="29"/>
      <c r="Q197" s="3"/>
      <c r="R197" s="402"/>
      <c r="S197" s="3"/>
      <c r="T197" s="3"/>
      <c r="U197" s="29"/>
    </row>
    <row r="198" spans="1:39" x14ac:dyDescent="0.2">
      <c r="A198" s="66" t="s">
        <v>648</v>
      </c>
    </row>
    <row r="199" spans="1:39" x14ac:dyDescent="0.2">
      <c r="A199" s="66" t="s">
        <v>1329</v>
      </c>
    </row>
    <row r="200" spans="1:39" s="5" customFormat="1" ht="15" x14ac:dyDescent="0.2">
      <c r="A200" s="10" t="s">
        <v>1330</v>
      </c>
      <c r="B200" s="3"/>
      <c r="C200" s="3"/>
      <c r="D200" s="20"/>
      <c r="E200" s="6"/>
      <c r="F200" s="6"/>
      <c r="G200" s="6"/>
      <c r="H200" s="6"/>
      <c r="I200" s="6"/>
      <c r="J200" s="6"/>
      <c r="K200" s="6"/>
      <c r="L200" s="6"/>
      <c r="M200" s="6"/>
      <c r="N200" s="6"/>
      <c r="P200" s="6"/>
      <c r="Q200" s="6"/>
      <c r="R200" s="405"/>
      <c r="S200" s="6"/>
      <c r="T200" s="6"/>
      <c r="U200" s="6"/>
      <c r="V200" s="6"/>
      <c r="W200" s="6"/>
      <c r="X200" s="6"/>
      <c r="Y200" s="6"/>
      <c r="Z200" s="6"/>
      <c r="AA200" s="6"/>
      <c r="AB200" s="6"/>
      <c r="AC200" s="6"/>
      <c r="AD200" s="6"/>
      <c r="AE200" s="6"/>
      <c r="AF200" s="6"/>
      <c r="AG200" s="6"/>
      <c r="AH200" s="6"/>
      <c r="AI200" s="6"/>
      <c r="AJ200" s="6"/>
      <c r="AK200" s="6"/>
      <c r="AL200" s="6"/>
      <c r="AM200" s="6"/>
    </row>
    <row r="201" spans="1:39" x14ac:dyDescent="0.2">
      <c r="A201" s="66" t="s">
        <v>1331</v>
      </c>
    </row>
    <row r="202" spans="1:39" x14ac:dyDescent="0.2">
      <c r="A202" s="66" t="s">
        <v>1332</v>
      </c>
    </row>
    <row r="203" spans="1:39" x14ac:dyDescent="0.2">
      <c r="A203" s="541" t="s">
        <v>1333</v>
      </c>
    </row>
    <row r="204" spans="1:39" x14ac:dyDescent="0.2">
      <c r="A204" s="938" t="s">
        <v>1334</v>
      </c>
      <c r="B204" s="938"/>
    </row>
    <row r="205" spans="1:39" x14ac:dyDescent="0.2">
      <c r="A205" s="51" t="s">
        <v>1335</v>
      </c>
    </row>
    <row r="206" spans="1:39" x14ac:dyDescent="0.2">
      <c r="A206" s="541"/>
    </row>
    <row r="207" spans="1:39" x14ac:dyDescent="0.2">
      <c r="A207" s="50"/>
    </row>
    <row r="208" spans="1:39" x14ac:dyDescent="0.2">
      <c r="A208" s="541"/>
    </row>
    <row r="209" spans="1:1" x14ac:dyDescent="0.2">
      <c r="A209" s="541"/>
    </row>
    <row r="210" spans="1:1" x14ac:dyDescent="0.2">
      <c r="A210" s="541"/>
    </row>
  </sheetData>
  <sheetProtection algorithmName="SHA-512" hashValue="tgRqGu4MCyOUqvFrFh7NzOzoP6kYff8sucitQC95IISvvZIN0OvhPwvoRQ52ycivWtxx8QgUKI/6Vy9qgwlBhw==" saltValue="DW+i7/tPsIACTErMwUw4jA==" spinCount="100000" sheet="1" objects="1" scenarios="1"/>
  <mergeCells count="75">
    <mergeCell ref="C142:C143"/>
    <mergeCell ref="C144:C147"/>
    <mergeCell ref="C157:C159"/>
    <mergeCell ref="C114:C115"/>
    <mergeCell ref="C117:C119"/>
    <mergeCell ref="C122:C123"/>
    <mergeCell ref="C124:C125"/>
    <mergeCell ref="C140:C141"/>
    <mergeCell ref="C100:C109"/>
    <mergeCell ref="C112:C113"/>
    <mergeCell ref="C47:C56"/>
    <mergeCell ref="C63:C74"/>
    <mergeCell ref="C76:C81"/>
    <mergeCell ref="C83:C89"/>
    <mergeCell ref="C92:C99"/>
    <mergeCell ref="B63:B74"/>
    <mergeCell ref="A122:A123"/>
    <mergeCell ref="B122:B123"/>
    <mergeCell ref="A92:A99"/>
    <mergeCell ref="B92:B99"/>
    <mergeCell ref="A83:A89"/>
    <mergeCell ref="B83:B89"/>
    <mergeCell ref="A76:A81"/>
    <mergeCell ref="B76:B81"/>
    <mergeCell ref="B117:B119"/>
    <mergeCell ref="A117:A119"/>
    <mergeCell ref="A114:A115"/>
    <mergeCell ref="K6:K7"/>
    <mergeCell ref="T6:T7"/>
    <mergeCell ref="U6:U7"/>
    <mergeCell ref="B157:B159"/>
    <mergeCell ref="A9:A10"/>
    <mergeCell ref="B9:B10"/>
    <mergeCell ref="A144:A147"/>
    <mergeCell ref="B144:B147"/>
    <mergeCell ref="A124:A125"/>
    <mergeCell ref="B124:B125"/>
    <mergeCell ref="A47:A56"/>
    <mergeCell ref="B47:B56"/>
    <mergeCell ref="A100:A109"/>
    <mergeCell ref="B100:B109"/>
    <mergeCell ref="A112:A113"/>
    <mergeCell ref="B112:B113"/>
    <mergeCell ref="A2:U2"/>
    <mergeCell ref="A6:A7"/>
    <mergeCell ref="B6:B7"/>
    <mergeCell ref="D6:D7"/>
    <mergeCell ref="E6:E7"/>
    <mergeCell ref="Q6:R6"/>
    <mergeCell ref="S6:S7"/>
    <mergeCell ref="F6:F7"/>
    <mergeCell ref="I6:I7"/>
    <mergeCell ref="N6:P6"/>
    <mergeCell ref="M6:M7"/>
    <mergeCell ref="C6:C7"/>
    <mergeCell ref="G6:G7"/>
    <mergeCell ref="J6:J7"/>
    <mergeCell ref="L6:L7"/>
    <mergeCell ref="H6:H7"/>
    <mergeCell ref="A204:B204"/>
    <mergeCell ref="C9:C10"/>
    <mergeCell ref="C25:C34"/>
    <mergeCell ref="C40:C45"/>
    <mergeCell ref="B25:B34"/>
    <mergeCell ref="A40:A45"/>
    <mergeCell ref="B40:B45"/>
    <mergeCell ref="A25:A34"/>
    <mergeCell ref="A142:A143"/>
    <mergeCell ref="B142:B143"/>
    <mergeCell ref="B114:B115"/>
    <mergeCell ref="A140:A141"/>
    <mergeCell ref="B140:B141"/>
    <mergeCell ref="A157:A159"/>
    <mergeCell ref="A182:E182"/>
    <mergeCell ref="A63:A74"/>
  </mergeCells>
  <phoneticPr fontId="60" type="noConversion"/>
  <conditionalFormatting sqref="Q8:Q13 Q23:Q55 Q58 Q60:Q80 Q82:Q90 Q110:Q121 Q127:Q139 Q149:Q153 Q161:Q164 Q167:Q172">
    <cfRule type="cellIs" dxfId="44" priority="98" operator="greaterThanOrEqual">
      <formula>100000</formula>
    </cfRule>
    <cfRule type="cellIs" dxfId="43" priority="99" operator="lessThanOrEqual">
      <formula>0.01</formula>
    </cfRule>
    <cfRule type="cellIs" dxfId="42" priority="96" operator="between">
      <formula>1</formula>
      <formula>10</formula>
    </cfRule>
    <cfRule type="cellIs" dxfId="41" priority="97" operator="between">
      <formula>10</formula>
      <formula>100000</formula>
    </cfRule>
  </conditionalFormatting>
  <conditionalFormatting sqref="Q110:Q121 Q161:Q164 Q167:Q172 Q8:Q13 Q23:Q55 Q58 Q60:Q80 Q82:Q90 Q127:Q139 Q149:Q153">
    <cfRule type="cellIs" dxfId="39" priority="95" operator="between">
      <formula>0.01</formula>
      <formula>1</formula>
    </cfRule>
  </conditionalFormatting>
  <conditionalFormatting sqref="Q111">
    <cfRule type="cellIs" dxfId="38" priority="71" operator="between">
      <formula>0.01</formula>
      <formula>1</formula>
    </cfRule>
    <cfRule type="cellIs" dxfId="37" priority="73" operator="between">
      <formula>10</formula>
      <formula>100000</formula>
    </cfRule>
    <cfRule type="cellIs" dxfId="36" priority="72" operator="between">
      <formula>1</formula>
      <formula>10</formula>
    </cfRule>
    <cfRule type="cellIs" dxfId="35" priority="75" operator="lessThanOrEqual">
      <formula>0.01</formula>
    </cfRule>
    <cfRule type="cellIs" dxfId="34" priority="74" operator="greaterThanOrEqual">
      <formula>100000</formula>
    </cfRule>
  </conditionalFormatting>
  <conditionalFormatting sqref="Q163">
    <cfRule type="cellIs" dxfId="33" priority="52" operator="between">
      <formula>10</formula>
      <formula>100000</formula>
    </cfRule>
    <cfRule type="cellIs" dxfId="32" priority="54" operator="lessThanOrEqual">
      <formula>0.01</formula>
    </cfRule>
    <cfRule type="cellIs" dxfId="31" priority="53" operator="greaterThanOrEqual">
      <formula>100000</formula>
    </cfRule>
    <cfRule type="cellIs" dxfId="30" priority="50" operator="between">
      <formula>0.01</formula>
      <formula>1</formula>
    </cfRule>
    <cfRule type="cellIs" dxfId="29" priority="51" operator="between">
      <formula>1</formula>
      <formula>10</formula>
    </cfRule>
  </conditionalFormatting>
  <conditionalFormatting sqref="Q168:Q171">
    <cfRule type="cellIs" dxfId="28" priority="34" operator="between">
      <formula>0.01</formula>
      <formula>1</formula>
    </cfRule>
    <cfRule type="cellIs" dxfId="27" priority="36" operator="between">
      <formula>10</formula>
      <formula>100000</formula>
    </cfRule>
    <cfRule type="cellIs" dxfId="26" priority="37" operator="greaterThanOrEqual">
      <formula>100000</formula>
    </cfRule>
    <cfRule type="cellIs" dxfId="25" priority="38" operator="lessThanOrEqual">
      <formula>0.01</formula>
    </cfRule>
    <cfRule type="cellIs" dxfId="24" priority="35" operator="between">
      <formula>1</formula>
      <formula>10</formula>
    </cfRule>
  </conditionalFormatting>
  <conditionalFormatting sqref="R10:R12">
    <cfRule type="cellIs" dxfId="23" priority="16" operator="between">
      <formula>0.01</formula>
      <formula>1</formula>
    </cfRule>
    <cfRule type="cellIs" dxfId="22" priority="17" operator="between">
      <formula>1</formula>
      <formula>10</formula>
    </cfRule>
    <cfRule type="cellIs" dxfId="21" priority="18" operator="between">
      <formula>10</formula>
      <formula>100000</formula>
    </cfRule>
    <cfRule type="cellIs" dxfId="20" priority="19" operator="greaterThanOrEqual">
      <formula>100000</formula>
    </cfRule>
    <cfRule type="cellIs" dxfId="19" priority="20" operator="lessThanOrEqual">
      <formula>0.01</formula>
    </cfRule>
  </conditionalFormatting>
  <conditionalFormatting sqref="R31">
    <cfRule type="cellIs" dxfId="18" priority="12" operator="between">
      <formula>10</formula>
      <formula>100000</formula>
    </cfRule>
    <cfRule type="cellIs" dxfId="17" priority="10" operator="between">
      <formula>0.01</formula>
      <formula>1</formula>
    </cfRule>
    <cfRule type="cellIs" dxfId="16" priority="11" operator="between">
      <formula>1</formula>
      <formula>10</formula>
    </cfRule>
    <cfRule type="cellIs" dxfId="15" priority="13" operator="greaterThanOrEqual">
      <formula>100000</formula>
    </cfRule>
    <cfRule type="cellIs" dxfId="14" priority="14" operator="lessThanOrEqual">
      <formula>0.01</formula>
    </cfRule>
  </conditionalFormatting>
  <conditionalFormatting sqref="R152:R153">
    <cfRule type="cellIs" dxfId="13" priority="42" operator="between">
      <formula>10</formula>
      <formula>100000</formula>
    </cfRule>
    <cfRule type="cellIs" dxfId="12" priority="44" operator="lessThanOrEqual">
      <formula>0.01</formula>
    </cfRule>
    <cfRule type="cellIs" dxfId="11" priority="43" operator="greaterThanOrEqual">
      <formula>100000</formula>
    </cfRule>
    <cfRule type="cellIs" dxfId="10" priority="41" operator="between">
      <formula>1</formula>
      <formula>10</formula>
    </cfRule>
    <cfRule type="cellIs" dxfId="9" priority="40" operator="between">
      <formula>0.01</formula>
      <formula>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8" id="{A76B27C3-53F1-4AB8-ABDF-F526CC576EC4}">
            <xm:f>(VLOOKUP(I59,References!$B$8:$C$252,2,FALSE)="Secondary")</xm:f>
            <x14:dxf>
              <font>
                <strike val="0"/>
              </font>
              <fill>
                <patternFill>
                  <bgColor rgb="FFFFC000"/>
                </patternFill>
              </fill>
            </x14:dxf>
          </x14:cfRule>
          <xm:sqref>J59 U59:U74 U112:U120 U151:U166</xm:sqref>
        </x14:conditionalFormatting>
        <x14:conditionalFormatting xmlns:xm="http://schemas.microsoft.com/office/excel/2006/main">
          <x14:cfRule type="expression" priority="7" id="{E981CB7E-B27F-496A-AC7F-7F9C577E8601}">
            <xm:f>(VLOOKUP(P59,References!$B$8:$C$252,2,FALSE)="Secondary")</xm:f>
            <x14:dxf>
              <font>
                <strike val="0"/>
              </font>
              <fill>
                <patternFill>
                  <bgColor rgb="FFFFC000"/>
                </patternFill>
              </fill>
            </x14:dxf>
          </x14:cfRule>
          <xm:sqref>Q59</xm:sqref>
        </x14:conditionalFormatting>
        <x14:conditionalFormatting xmlns:xm="http://schemas.microsoft.com/office/excel/2006/main">
          <x14:cfRule type="expression" priority="31" id="{FD9C2F08-CA8E-4B77-A7D6-E7701CCF96DD}">
            <xm:f>(VLOOKUP(S9,References!$B$8:$C$252,2,FALSE)="Secondary")</xm:f>
            <x14:dxf>
              <font>
                <strike val="0"/>
              </font>
              <fill>
                <patternFill>
                  <bgColor rgb="FFFFC000"/>
                </patternFill>
              </fill>
            </x14:dxf>
          </x14:cfRule>
          <xm:sqref>U9:U12 T36 U38:U57 U91:U110 U122:U126 U140:U149 U168:U172</xm:sqref>
        </x14:conditionalFormatting>
        <x14:conditionalFormatting xmlns:xm="http://schemas.microsoft.com/office/excel/2006/main">
          <x14:cfRule type="expression" priority="1" id="{2C0C54E0-A173-45CA-A964-3F1A0169DB53}">
            <xm:f>(VLOOKUP(T14,References!$B$8:$C$252,2,FALSE)="Secondary")</xm:f>
            <x14:dxf>
              <font>
                <strike val="0"/>
              </font>
              <fill>
                <patternFill>
                  <bgColor rgb="FFFFC000"/>
                </patternFill>
              </fill>
            </x14:dxf>
          </x14:cfRule>
          <xm:sqref>U14:U22</xm:sqref>
        </x14:conditionalFormatting>
        <x14:conditionalFormatting xmlns:xm="http://schemas.microsoft.com/office/excel/2006/main">
          <x14:cfRule type="expression" priority="15" id="{CF458645-F055-4332-AEFF-0C0C9785223E}">
            <xm:f>(VLOOKUP(T24,References!$B$8:$C$252,2,FALSE)="Secondary")</xm:f>
            <x14:dxf>
              <font>
                <strike val="0"/>
              </font>
              <fill>
                <patternFill>
                  <bgColor rgb="FFFFC000"/>
                </patternFill>
              </fill>
            </x14:dxf>
          </x14:cfRule>
          <xm:sqref>U24:U36</xm:sqref>
        </x14:conditionalFormatting>
        <x14:conditionalFormatting xmlns:xm="http://schemas.microsoft.com/office/excel/2006/main">
          <x14:cfRule type="expression" priority="55" id="{5C9E0C3F-B4F1-4C9E-9C8D-2077753ED3BD}">
            <xm:f>(VLOOKUP(T76,References!$B$8:$C$252,2,FALSE)="Secondary")</xm:f>
            <x14:dxf>
              <font>
                <strike val="0"/>
              </font>
              <fill>
                <patternFill>
                  <bgColor rgb="FFFFC000"/>
                </patternFill>
              </fill>
            </x14:dxf>
          </x14:cfRule>
          <xm:sqref>U76:U89</xm:sqref>
        </x14:conditionalFormatting>
        <x14:conditionalFormatting xmlns:xm="http://schemas.microsoft.com/office/excel/2006/main">
          <x14:cfRule type="expression" priority="81" id="{BB3CD0FA-9DB3-4612-B123-8305B267B322}">
            <xm:f>(VLOOKUP(T128,References!$B$8:$C$252,2,FALSE)="Secondary")</xm:f>
            <x14:dxf>
              <font>
                <strike val="0"/>
              </font>
              <fill>
                <patternFill>
                  <bgColor rgb="FFFFC000"/>
                </patternFill>
              </fill>
            </x14:dxf>
          </x14:cfRule>
          <xm:sqref>U128</xm:sqref>
        </x14:conditionalFormatting>
        <x14:conditionalFormatting xmlns:xm="http://schemas.microsoft.com/office/excel/2006/main">
          <x14:cfRule type="expression" priority="83" id="{639AED43-CB6D-4690-A29F-2504AFFB4FEC}">
            <xm:f>(VLOOKUP(T130,References!$B$8:$C$252,2,FALSE)="Secondary")</xm:f>
            <x14:dxf>
              <font>
                <strike val="0"/>
              </font>
              <fill>
                <patternFill>
                  <bgColor rgb="FFFFC000"/>
                </patternFill>
              </fill>
            </x14:dxf>
          </x14:cfRule>
          <xm:sqref>U130:U134</xm:sqref>
        </x14:conditionalFormatting>
        <x14:conditionalFormatting xmlns:xm="http://schemas.microsoft.com/office/excel/2006/main">
          <x14:cfRule type="expression" priority="82" id="{650EBA68-AB1A-4269-85A1-3E67CFE51070}">
            <xm:f>(VLOOKUP(T136,References!$B$8:$C$252,2,FALSE)="Secondary")</xm:f>
            <x14:dxf>
              <font>
                <strike val="0"/>
              </font>
              <fill>
                <patternFill>
                  <bgColor rgb="FFFFC000"/>
                </patternFill>
              </fill>
            </x14:dxf>
          </x14:cfRule>
          <xm:sqref>U136:U138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E7C8305BE12E48B76A5B6A63FED4EA" ma:contentTypeVersion="9" ma:contentTypeDescription="Create a new document." ma:contentTypeScope="" ma:versionID="95a1d2cc69d1b9ccc4f9b620aaad5eb7">
  <xsd:schema xmlns:xsd="http://www.w3.org/2001/XMLSchema" xmlns:xs="http://www.w3.org/2001/XMLSchema" xmlns:p="http://schemas.microsoft.com/office/2006/metadata/properties" xmlns:ns2="13cd05af-b47b-46ac-bc7a-4333911869f2" targetNamespace="http://schemas.microsoft.com/office/2006/metadata/properties" ma:root="true" ma:fieldsID="a939cc0e8683bf3d9c3b74d5c7959c73" ns2:_="">
    <xsd:import namespace="13cd05af-b47b-46ac-bc7a-4333911869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d05af-b47b-46ac-bc7a-433391186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8fcfbf-fbb6-4ee5-94f9-8ba9cab5048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cd05af-b47b-46ac-bc7a-4333911869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3A7A25-8609-4431-A25F-4C2E0C342554}">
  <ds:schemaRefs>
    <ds:schemaRef ds:uri="http://schemas.microsoft.com/sharepoint/v3/contenttype/forms"/>
  </ds:schemaRefs>
</ds:datastoreItem>
</file>

<file path=customXml/itemProps2.xml><?xml version="1.0" encoding="utf-8"?>
<ds:datastoreItem xmlns:ds="http://schemas.openxmlformats.org/officeDocument/2006/customXml" ds:itemID="{F729B6A1-5C62-4AC3-B6A7-044942412F29}"/>
</file>

<file path=customXml/itemProps3.xml><?xml version="1.0" encoding="utf-8"?>
<ds:datastoreItem xmlns:ds="http://schemas.openxmlformats.org/officeDocument/2006/customXml" ds:itemID="{E02A6D72-F058-4E28-8DE6-E20600744738}">
  <ds:schemaRefs>
    <ds:schemaRef ds:uri="http://schemas.microsoft.com/office/infopath/2007/PartnerControls"/>
    <ds:schemaRef ds:uri="1e0d7aea-49b5-4a0e-ae03-59eb74c67391"/>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1635bccf-623f-4034-8e89-6fa5c17bf95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ReadMe</vt:lpstr>
      <vt:lpstr>Main Table</vt:lpstr>
      <vt:lpstr>Solubility (S)</vt:lpstr>
      <vt:lpstr>Vapor Pressure (VP)</vt:lpstr>
      <vt:lpstr>Henry's Constant (KH)</vt:lpstr>
      <vt:lpstr>Critical Micelle Conc. (CMC)</vt:lpstr>
      <vt:lpstr>Log Koc</vt:lpstr>
      <vt:lpstr>pKa</vt:lpstr>
      <vt:lpstr>Biotransformation</vt:lpstr>
      <vt:lpstr>References</vt:lpstr>
      <vt:lpstr>Constants</vt:lpstr>
      <vt:lpstr>'Main Table'!OLE_LINK387</vt:lpstr>
      <vt:lpstr>'Main Table'!OLE_LINK482</vt:lpstr>
      <vt:lpstr>'Main Table'!OLE_LINK51</vt:lpstr>
      <vt:lpstr>'Main Table'!OLE_LINK79</vt:lpstr>
      <vt:lpstr>R_atm</vt:lpstr>
      <vt:lpstr>R_Pa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Lesley Hay Wilson</cp:lastModifiedBy>
  <cp:revision/>
  <dcterms:created xsi:type="dcterms:W3CDTF">2017-04-26T21:25:55Z</dcterms:created>
  <dcterms:modified xsi:type="dcterms:W3CDTF">2025-12-22T02:02:50Z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0x0101003AE7C8305BE12E48B76A5B6A63FED4EA</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